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<sst xmlns="http://schemas.openxmlformats.org/spreadsheetml/2006/main" count="3663" uniqueCount="2967">
  <si>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</si>
  <si>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</si>
  <si>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</si>
  <si>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</si>
  <si>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</si>
  <si>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</si>
  <si>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</si>
  <si>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</si>
  <si>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</si>
  <si>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</si>
  <si>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</si>
  <si>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</si>
  <si>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</si>
  <si>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</si>
  <si>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</si>
  <si>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</si>
  <si>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</si>
  <si>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</si>
  <si>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</si>
  <si>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</si>
  <si>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</si>
  <si>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</si>
  <si>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</si>
  <si>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</si>
  <si>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</si>
  <si>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</si>
  <si>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</si>
  <si>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</si>
  <si>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</si>
  <si>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</si>
  <si>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</si>
  <si>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</si>
  <si>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</si>
  <si>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</si>
  <si>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</si>
  <si>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</si>
  <si>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</si>
  <si>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</si>
  <si>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</si>
  <si>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</si>
  <si>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</si>
  <si>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</si>
  <si>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</si>
  <si>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</si>
  <si>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</si>
  <si>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</si>
  <si>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</si>
  <si>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</si>
  <si>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</si>
  <si>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</si>
  <si>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</si>
  <si>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</si>
  <si>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</si>
  <si>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</si>
  <si>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</si>
  <si>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</si>
  <si>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</si>
  <si>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</si>
  <si>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</si>
  <si>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</si>
  <si>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</si>
  <si>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</si>
  <si>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</si>
  <si>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</si>
  <si>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</si>
  <si>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</si>
  <si>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</si>
  <si>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</si>
  <si>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</si>
  <si>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</si>
  <si>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</si>
  <si>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</si>
  <si>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</si>
  <si>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</si>
  <si>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</si>
  <si>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</si>
  <si>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</si>
  <si>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</si>
  <si>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</si>
  <si>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</si>
  <si>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</si>
  <si>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</si>
  <si>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</si>
  <si>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</si>
  <si>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</si>
  <si>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</si>
  <si>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</si>
  <si>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</si>
  <si>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</si>
  <si>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</si>
  <si>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</si>
  <si>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</si>
  <si>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</si>
  <si>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</si>
  <si>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</si>
  <si>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</si>
  <si>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</si>
  <si>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</si>
  <si>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</si>
  <si>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</si>
  <si>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</si>
  <si>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</si>
  <si>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</si>
  <si>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</si>
  <si>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</si>
  <si>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</si>
  <si>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</si>
  <si>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</si>
  <si>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</si>
  <si>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</si>
  <si>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</si>
  <si>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</si>
  <si>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</si>
  <si>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</si>
  <si>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</si>
  <si>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</si>
  <si>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</si>
  <si>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</si>
  <si>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</si>
  <si>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</si>
  <si>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</si>
  <si>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</si>
  <si>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</si>
  <si>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</si>
  <si>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</si>
  <si>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</si>
  <si>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</si>
  <si>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</si>
  <si>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</si>
  <si>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</si>
  <si>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</si>
  <si>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</si>
  <si>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</si>
  <si>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</si>
  <si>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</si>
  <si>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</si>
  <si>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</si>
  <si>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</si>
  <si>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</si>
  <si>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</si>
  <si>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</si>
  <si>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</si>
  <si>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</si>
  <si>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</si>
  <si>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</si>
  <si>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</si>
  <si>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</si>
  <si>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</si>
  <si>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</si>
  <si>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</si>
  <si>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</si>
  <si>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</si>
  <si>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</si>
  <si>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</si>
  <si>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</si>
  <si>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</si>
  <si>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</si>
  <si>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</si>
  <si>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</si>
  <si>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</si>
  <si>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</si>
  <si>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</si>
  <si>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</si>
  <si>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</si>
  <si>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</si>
  <si>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</si>
  <si>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</si>
  <si>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</si>
  <si>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</si>
  <si>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</si>
  <si>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</si>
  <si>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</si>
  <si>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</si>
  <si>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</si>
  <si>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</si>
  <si>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</si>
  <si>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</si>
  <si>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</si>
  <si>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</si>
  <si>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</si>
  <si>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</si>
  <si>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</si>
  <si>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</si>
  <si>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</si>
  <si>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</si>
  <si>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</si>
  <si>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</si>
  <si>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</si>
  <si>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</si>
  <si>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</si>
  <si>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</si>
  <si>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</si>
  <si>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</si>
  <si>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</si>
  <si>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</si>
  <si>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</si>
  <si>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</si>
  <si>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</si>
  <si>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</si>
  <si>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</si>
  <si>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</si>
  <si>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</si>
  <si>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</si>
  <si>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</si>
  <si>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</si>
  <si>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</si>
  <si>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</si>
  <si>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</si>
  <si>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</si>
  <si>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</si>
  <si>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</si>
  <si>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</si>
  <si>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</si>
  <si>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</si>
  <si>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</si>
  <si>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</si>
  <si>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</si>
  <si>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</si>
  <si>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</si>
  <si>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</si>
  <si>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</si>
  <si>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</si>
  <si>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</si>
  <si>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</si>
  <si>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</si>
  <si>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</si>
  <si>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</si>
  <si>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</si>
  <si>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</si>
  <si>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</si>
  <si>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</si>
  <si>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</si>
  <si>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</si>
  <si>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</si>
  <si>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</si>
  <si>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</si>
  <si>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</si>
  <si>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</si>
  <si>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</si>
  <si>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</si>
  <si>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</si>
  <si>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</si>
  <si>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</si>
  <si>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</si>
  <si>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</si>
  <si>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</si>
  <si>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</si>
  <si>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</si>
  <si>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</si>
  <si>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</si>
  <si>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</si>
  <si>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</si>
  <si>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</si>
  <si>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</si>
  <si>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</si>
  <si>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</si>
  <si>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</si>
  <si>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</si>
  <si>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</si>
  <si>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</si>
  <si>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</si>
  <si>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</si>
  <si>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</si>
  <si>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</si>
  <si>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</si>
  <si>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</si>
  <si>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</si>
  <si>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</si>
  <si>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</si>
  <si>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</si>
  <si>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</si>
  <si>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</si>
  <si>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</si>
  <si>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</si>
  <si>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</si>
  <si>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</si>
  <si>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</si>
  <si>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</si>
  <si>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</si>
  <si>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</si>
  <si>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</si>
  <si>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</si>
  <si>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</si>
  <si>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</si>
  <si>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</si>
  <si>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</si>
  <si>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</si>
  <si>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</si>
  <si>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</si>
  <si>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</si>
  <si>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</si>
  <si>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</si>
  <si>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</si>
  <si>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</si>
  <si>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</si>
  <si>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</si>
  <si>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</si>
  <si>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</si>
  <si>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</si>
  <si>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</si>
  <si>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</si>
  <si>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</si>
  <si>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</si>
  <si>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</si>
  <si>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</si>
  <si>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</si>
  <si>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</si>
  <si>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</si>
  <si>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</si>
  <si>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</si>
  <si>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</si>
  <si>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</si>
  <si>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</si>
  <si>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</si>
  <si>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</si>
  <si>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</si>
  <si>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</si>
  <si>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</si>
  <si>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</si>
  <si>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</si>
  <si>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</si>
  <si>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</si>
  <si>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</si>
  <si>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</si>
  <si>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</si>
  <si>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</si>
  <si>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</si>
  <si>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</si>
  <si>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</si>
  <si>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</si>
  <si>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</si>
  <si>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</si>
  <si>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</si>
  <si>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</si>
  <si>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</si>
  <si>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</si>
  <si>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</si>
  <si>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</si>
  <si>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</si>
  <si>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</si>
  <si>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</si>
  <si>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</si>
  <si>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</si>
  <si>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</si>
  <si>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</si>
  <si>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</si>
  <si>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</si>
  <si>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</si>
  <si>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</si>
  <si>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</si>
  <si>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</si>
  <si>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</si>
  <si>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</si>
  <si>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</si>
  <si>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</si>
  <si>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</si>
  <si>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</si>
  <si>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</si>
  <si>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</si>
  <si>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</si>
  <si>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</si>
  <si>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</si>
  <si>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</si>
  <si>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</si>
  <si>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</si>
  <si>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</si>
  <si>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</si>
  <si>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</si>
  <si>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</si>
  <si>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</si>
  <si>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</si>
  <si>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</si>
  <si>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</si>
  <si>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</si>
  <si>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</si>
  <si>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</si>
  <si>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</si>
  <si>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</si>
  <si>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</si>
  <si>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</si>
  <si>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</si>
  <si>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</si>
  <si>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</si>
  <si>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</si>
  <si>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</si>
  <si>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</si>
  <si>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</si>
  <si>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</si>
  <si>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</si>
  <si>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</si>
  <si>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</si>
  <si>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</si>
  <si>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</si>
  <si>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</si>
  <si>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</si>
  <si>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</si>
  <si>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</si>
  <si>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</si>
  <si>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</si>
  <si>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</si>
  <si>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</si>
  <si>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</si>
  <si>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</si>
  <si>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</si>
  <si>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</si>
  <si>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</si>
  <si>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</si>
  <si>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</si>
  <si>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</si>
  <si>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</si>
  <si>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</si>
  <si>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</si>
  <si>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</si>
  <si>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</si>
  <si>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</si>
  <si>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</si>
  <si>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</si>
  <si>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</si>
  <si>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</si>
  <si>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</si>
  <si>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</si>
  <si>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</si>
  <si>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</si>
  <si>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</si>
  <si>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</si>
  <si>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</si>
  <si>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</si>
  <si>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</si>
  <si>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</si>
  <si>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</si>
  <si>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</si>
  <si>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</si>
  <si>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</si>
  <si>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</si>
  <si>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</si>
  <si>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</si>
  <si>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</si>
  <si>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</si>
  <si>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</si>
  <si>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</si>
  <si>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</si>
  <si>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</si>
  <si>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</si>
  <si>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</si>
  <si>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</si>
  <si>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</si>
  <si>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</si>
  <si>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</si>
  <si>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</si>
  <si>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</si>
  <si>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</si>
  <si>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</si>
  <si>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</si>
  <si>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</si>
  <si>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</si>
  <si>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</si>
  <si>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</si>
  <si>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</si>
  <si>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</si>
  <si>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</si>
  <si>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</si>
  <si>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</si>
  <si>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</si>
  <si>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</si>
  <si>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</si>
  <si>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</si>
  <si>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</si>
  <si>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</si>
  <si>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</si>
  <si>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</si>
  <si>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</si>
  <si>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</si>
  <si>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</si>
  <si>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</si>
  <si>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</si>
  <si>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</si>
  <si>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</si>
  <si>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</si>
  <si>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</si>
  <si>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</si>
  <si>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</si>
  <si>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</si>
  <si>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</si>
  <si>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</si>
  <si>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</si>
  <si>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</si>
  <si>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</si>
  <si>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</si>
  <si>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</si>
  <si>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</si>
  <si>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</si>
  <si>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</si>
  <si>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</si>
  <si>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</si>
  <si>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</si>
  <si>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</si>
  <si>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</si>
  <si>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</si>
  <si>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</si>
  <si>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</si>
  <si>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</si>
  <si>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</si>
  <si>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</si>
  <si>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</si>
  <si>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</si>
  <si>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</si>
  <si>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</si>
  <si>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</si>
  <si>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</si>
  <si>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</si>
  <si>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</si>
  <si>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</si>
  <si>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</si>
  <si>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</si>
  <si>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</si>
  <si>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</si>
  <si>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</si>
  <si>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</si>
  <si>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</si>
  <si>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</si>
  <si>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</si>
  <si>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</si>
  <si>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</si>
  <si>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</si>
  <si>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</si>
  <si>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</si>
  <si>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</si>
  <si>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</si>
  <si>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</si>
  <si>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</si>
  <si>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</si>
  <si>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</si>
  <si>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</si>
  <si>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</si>
  <si>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</si>
  <si>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</si>
  <si>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</si>
  <si>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</si>
  <si>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</si>
  <si>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</si>
  <si>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</si>
  <si>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</si>
  <si>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</si>
  <si>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</si>
  <si>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</si>
  <si>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</si>
  <si>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</si>
  <si>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</si>
  <si>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</si>
  <si>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</si>
  <si>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</si>
  <si>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</si>
  <si>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</si>
  <si>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</si>
  <si>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</si>
  <si>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</si>
  <si>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</si>
  <si>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</si>
  <si>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</si>
  <si>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</si>
  <si>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</si>
  <si>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</si>
  <si>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</si>
  <si>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</si>
  <si>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</si>
  <si>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</si>
  <si>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</si>
  <si>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</si>
  <si>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</si>
  <si>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</si>
  <si>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</si>
  <si>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</si>
  <si>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</si>
  <si>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</si>
  <si>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</si>
  <si>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</si>
  <si>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</si>
  <si>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</si>
  <si>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</si>
  <si>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</si>
  <si>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</si>
  <si>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</si>
  <si>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</si>
  <si>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</si>
  <si>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</si>
  <si>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</si>
  <si>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</si>
  <si>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</si>
  <si>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</si>
  <si>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</si>
  <si>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</si>
  <si>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</si>
  <si>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</si>
  <si>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</si>
  <si>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</si>
  <si>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</si>
  <si>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</si>
  <si>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</si>
  <si>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</si>
  <si>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</si>
  <si>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</si>
  <si>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</si>
  <si>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</si>
  <si>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</si>
  <si>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</si>
  <si>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</si>
  <si>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</si>
  <si>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</si>
  <si>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</si>
  <si>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</si>
  <si>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</si>
  <si>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</si>
  <si>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</si>
  <si>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</si>
  <si>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</si>
  <si>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</si>
  <si>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</si>
  <si>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</si>
  <si>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</si>
  <si>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</si>
  <si>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</si>
  <si>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</si>
  <si>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</si>
  <si>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</si>
  <si>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</si>
  <si>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</si>
  <si>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</si>
  <si>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</si>
  <si>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</si>
  <si>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</si>
  <si>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</si>
  <si>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</si>
  <si>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</si>
  <si>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</si>
  <si>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</si>
  <si>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</si>
  <si>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</si>
  <si>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</si>
  <si>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</si>
  <si>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</si>
  <si>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</si>
  <si>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</si>
  <si>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</si>
  <si>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</si>
  <si>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</si>
  <si>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</si>
  <si>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</si>
  <si>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</si>
  <si>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</si>
  <si>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</si>
  <si>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</si>
  <si>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</si>
  <si>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</si>
  <si>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</si>
  <si>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</si>
  <si>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</si>
  <si>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</si>
  <si>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</si>
  <si>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</si>
  <si>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</si>
  <si>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</si>
  <si>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</si>
  <si>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</si>
  <si>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</si>
  <si>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</si>
  <si>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</si>
  <si>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</si>
  <si>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</si>
  <si>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</si>
  <si>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</si>
  <si>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</si>
  <si>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</si>
  <si>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</si>
  <si>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</si>
  <si>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</si>
  <si>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</si>
  <si>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</si>
  <si>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</si>
  <si>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</si>
  <si>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</si>
  <si>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</si>
  <si>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</si>
  <si>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</si>
  <si>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</si>
  <si>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</si>
  <si>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</si>
  <si>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</si>
  <si>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</si>
  <si>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</si>
  <si>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</si>
  <si>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</si>
  <si>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</si>
  <si>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</si>
  <si>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</si>
  <si>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</si>
  <si>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</si>
  <si>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</si>
  <si>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</si>
  <si>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</si>
  <si>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</si>
  <si>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</si>
  <si>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</si>
  <si>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</si>
  <si>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</si>
  <si>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</si>
  <si>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</si>
  <si>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</si>
  <si>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</si>
  <si>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</si>
  <si>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</si>
  <si>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</si>
  <si>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</si>
  <si>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</si>
  <si>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</si>
  <si>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</si>
  <si>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</si>
  <si>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</si>
  <si>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</si>
  <si>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</si>
  <si>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</si>
  <si>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</si>
  <si>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</si>
  <si>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</si>
  <si>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</si>
  <si>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</si>
  <si>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</si>
  <si>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</si>
  <si>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</si>
  <si>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</si>
  <si>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</si>
  <si>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</si>
  <si>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</si>
  <si>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</si>
  <si>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</si>
  <si>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</si>
  <si>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</si>
  <si>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</si>
  <si>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</si>
  <si>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</si>
  <si>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</si>
  <si>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</si>
  <si>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</si>
  <si>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</si>
  <si>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</si>
  <si>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</si>
  <si>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</si>
  <si>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</si>
  <si>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</si>
  <si>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</si>
  <si>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</si>
  <si>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</si>
  <si>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</si>
  <si>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</si>
  <si>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</si>
  <si>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</si>
  <si>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</si>
  <si>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</si>
  <si>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</si>
  <si>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</si>
  <si>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</si>
  <si>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</si>
  <si>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</si>
  <si>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</si>
  <si>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</si>
  <si>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</si>
  <si>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</si>
  <si>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</si>
  <si>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</si>
  <si>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</si>
  <si>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</si>
  <si>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</si>
  <si>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</si>
  <si>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</si>
  <si>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</si>
  <si>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</si>
  <si>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</si>
  <si>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</si>
  <si>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</si>
  <si>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</si>
  <si>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</si>
  <si>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</si>
  <si>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</si>
  <si>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</si>
  <si>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</si>
  <si>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</si>
  <si>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</si>
  <si>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</si>
  <si>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</si>
  <si>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</si>
  <si>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</si>
  <si>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</si>
  <si>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</si>
  <si>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</si>
  <si>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</si>
  <si>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</si>
  <si>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</si>
  <si>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</si>
  <si>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</si>
  <si>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</si>
  <si>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</si>
  <si>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</si>
  <si>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</si>
  <si>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</si>
  <si>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</si>
  <si>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</si>
  <si>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</si>
  <si>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</si>
  <si>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</si>
  <si>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</si>
  <si>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</si>
  <si>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</si>
  <si>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</si>
  <si>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</si>
  <si>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</si>
  <si>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</si>
  <si>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</si>
  <si>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</si>
  <si>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</si>
  <si>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</si>
  <si>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</si>
  <si>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</si>
  <si>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</si>
  <si>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</si>
  <si>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</si>
  <si>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</si>
  <si>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</si>
  <si>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</si>
  <si>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</si>
  <si>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</si>
  <si>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</si>
  <si>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</si>
  <si>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</si>
  <si>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</si>
  <si>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</si>
  <si>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</si>
  <si>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</si>
  <si>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</si>
  <si>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</si>
  <si>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</si>
  <si>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</si>
  <si>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</si>
  <si>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</si>
  <si>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</si>
  <si>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</si>
  <si>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</si>
  <si>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</si>
  <si>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</si>
  <si>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</si>
  <si>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</si>
  <si>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</si>
  <si>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</si>
  <si>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</si>
  <si>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</si>
  <si>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</si>
  <si>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</si>
  <si>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</si>
  <si>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</si>
  <si>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</si>
  <si>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</si>
  <si>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</si>
  <si>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</si>
  <si>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</si>
  <si>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</si>
  <si>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</si>
  <si>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</si>
  <si>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</si>
  <si>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</si>
  <si>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</si>
  <si>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</si>
  <si>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</si>
  <si>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</si>
  <si>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</si>
  <si>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</si>
  <si>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</si>
  <si>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</si>
  <si>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</si>
  <si>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</si>
  <si>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</si>
  <si>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</si>
  <si>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</si>
  <si>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</si>
  <si>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</si>
  <si>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</si>
  <si>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</si>
  <si>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</si>
  <si>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</si>
  <si>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</si>
  <si>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</si>
  <si>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</si>
  <si>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</si>
  <si>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</si>
  <si>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</si>
  <si>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</si>
  <si>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</si>
  <si>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</si>
  <si>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</si>
  <si>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</si>
  <si>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</si>
  <si>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</si>
  <si>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</si>
  <si>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</si>
  <si>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</si>
  <si>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</si>
  <si>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</si>
  <si>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</si>
  <si>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</si>
  <si>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</si>
  <si>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</si>
  <si>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</si>
  <si>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</si>
  <si>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</si>
  <si>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</si>
  <si>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</si>
  <si>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</si>
  <si>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</si>
  <si>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</si>
  <si>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</si>
  <si>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</si>
  <si>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</si>
  <si>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</si>
  <si>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</si>
  <si>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</si>
  <si>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</si>
  <si>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</si>
  <si>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</si>
  <si>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</si>
  <si>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</si>
  <si>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</si>
  <si>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</si>
  <si>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</si>
  <si>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</si>
  <si>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</si>
  <si>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</si>
  <si>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</si>
  <si>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</si>
  <si>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</si>
  <si>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</si>
  <si>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</si>
  <si>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</si>
  <si>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</si>
  <si>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</si>
  <si>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</si>
  <si>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</si>
  <si>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</si>
  <si>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</si>
  <si>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</si>
  <si>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</si>
  <si>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</si>
  <si>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</si>
  <si>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</si>
  <si>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</si>
  <si>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</si>
  <si>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</si>
  <si>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</si>
  <si>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</si>
  <si>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</si>
  <si>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</si>
  <si>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</si>
  <si>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</si>
  <si>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</si>
  <si>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</si>
  <si>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</si>
  <si>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</si>
  <si>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</si>
  <si>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</si>
  <si>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</si>
  <si>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</si>
  <si>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</si>
  <si>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</si>
  <si>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</si>
  <si>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</si>
  <si>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</si>
  <si>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</si>
  <si>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</si>
  <si>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</si>
  <si>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</si>
  <si>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</si>
  <si>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</si>
  <si>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</si>
  <si>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</si>
  <si>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</si>
  <si>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</si>
  <si>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</si>
  <si>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</si>
  <si>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</si>
  <si>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</si>
  <si>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</si>
  <si>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</si>
  <si>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</si>
  <si>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</si>
  <si>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</si>
  <si>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</si>
  <si>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</si>
  <si>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</si>
  <si>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</si>
  <si>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</si>
  <si>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</si>
  <si>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</si>
  <si>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</si>
  <si>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</si>
  <si>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</si>
  <si>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</si>
  <si>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</si>
  <si>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</si>
  <si>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</si>
  <si>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</si>
  <si>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</si>
  <si>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</si>
  <si>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</si>
  <si>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</si>
  <si>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</si>
  <si>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</si>
  <si>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</si>
  <si>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</si>
  <si>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</si>
  <si>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</si>
  <si>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</si>
  <si>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</si>
  <si>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</si>
  <si>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</si>
  <si>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</si>
  <si>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</si>
  <si>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</si>
  <si>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</si>
  <si>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</si>
  <si>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</si>
  <si>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</si>
  <si>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</si>
  <si>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</si>
  <si>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</si>
  <si>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</si>
  <si>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</si>
  <si>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</si>
  <si>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</si>
  <si>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</si>
  <si>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</si>
  <si>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</si>
  <si>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</si>
  <si>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</si>
  <si>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</si>
  <si>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</si>
  <si>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</si>
  <si>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</si>
  <si>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</si>
  <si>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</si>
  <si>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</si>
  <si>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</si>
  <si>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</si>
  <si>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</si>
  <si>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</si>
  <si>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</si>
  <si>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</si>
  <si>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</si>
  <si>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</si>
  <si>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</si>
  <si>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</si>
  <si>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</si>
  <si>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</si>
  <si>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</si>
  <si>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</si>
  <si>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</si>
  <si>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</si>
  <si>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</si>
  <si>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</si>
  <si>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</si>
  <si>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</si>
  <si>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</si>
  <si>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</si>
  <si>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</si>
  <si>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</si>
  <si>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</si>
  <si>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</si>
  <si>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</si>
  <si>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</si>
  <si>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</si>
  <si>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</si>
  <si>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</si>
  <si>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</si>
  <si>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</si>
  <si>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</si>
  <si>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</si>
  <si>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</si>
  <si>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</si>
  <si>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</si>
  <si>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</si>
  <si>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</si>
  <si>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</si>
  <si>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</si>
  <si>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</si>
  <si>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</si>
  <si>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</si>
  <si>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</si>
  <si>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</si>
  <si>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</si>
  <si>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</si>
  <si>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</si>
  <si>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</si>
  <si>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</si>
  <si>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</si>
  <si>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</si>
  <si>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</si>
  <si>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</si>
  <si>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</si>
  <si>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</si>
  <si>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</si>
  <si>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</si>
  <si>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</si>
  <si>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</si>
  <si>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</si>
  <si>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</si>
  <si>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</si>
  <si>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</si>
  <si>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</si>
  <si>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</si>
  <si>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</si>
  <si>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</si>
  <si>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</si>
  <si>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</si>
  <si>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</si>
  <si>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</si>
  <si>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</si>
  <si>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</si>
  <si>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</si>
  <si>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</si>
  <si>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</si>
  <si>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</si>
  <si>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</si>
  <si>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</si>
  <si>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</si>
  <si>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</si>
  <si>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</si>
  <si>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</si>
  <si>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</si>
  <si>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</si>
  <si>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</si>
  <si>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</si>
  <si>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</si>
  <si>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</si>
  <si>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</si>
  <si>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</si>
  <si>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</si>
  <si>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</si>
  <si>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</si>
  <si>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</si>
  <si>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</si>
  <si>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</si>
  <si>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</si>
  <si>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</si>
  <si>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</si>
  <si>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</si>
  <si>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</si>
  <si>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</si>
  <si>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</si>
  <si>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</si>
  <si>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</si>
  <si>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</si>
  <si>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</si>
  <si>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</si>
  <si>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</si>
  <si>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</si>
  <si>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</si>
  <si>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</si>
  <si>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</si>
  <si>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</si>
  <si>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</si>
  <si>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</si>
  <si>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</si>
  <si>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</si>
  <si>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</si>
  <si>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</si>
  <si>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</si>
  <si>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</si>
  <si>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</si>
  <si>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</si>
  <si>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</si>
  <si>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</si>
  <si>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</si>
  <si>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</si>
  <si>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</si>
  <si>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</si>
  <si>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</si>
  <si>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</si>
  <si>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</si>
  <si>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</si>
  <si>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</si>
  <si>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</si>
  <si>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</si>
  <si>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</si>
  <si>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</si>
  <si>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</si>
  <si>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</si>
  <si>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</si>
  <si>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</si>
  <si>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</si>
  <si>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</si>
  <si>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</si>
  <si>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</si>
  <si>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</si>
  <si>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</si>
  <si>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</si>
  <si>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</si>
  <si>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</si>
  <si>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</si>
  <si>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</si>
  <si>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</si>
  <si>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</si>
  <si>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</si>
  <si>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</si>
  <si>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</si>
  <si>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</si>
  <si>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</si>
  <si>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</si>
  <si>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</si>
  <si>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</si>
  <si>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</si>
  <si>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</si>
  <si>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</si>
  <si>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</si>
  <si>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</si>
  <si>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</si>
  <si>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</si>
  <si>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</si>
  <si>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</si>
  <si>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</si>
  <si>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</si>
  <si>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</si>
  <si>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</si>
  <si>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</si>
  <si>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</si>
  <si>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</si>
  <si>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</si>
  <si>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</si>
  <si>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</si>
  <si>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</si>
  <si>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</si>
  <si>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</si>
  <si>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</si>
  <si>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</si>
  <si>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</si>
  <si>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</si>
  <si>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</si>
  <si>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</si>
  <si>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</si>
  <si>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</si>
  <si>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</si>
  <si>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</si>
  <si>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</si>
  <si>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</si>
  <si>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</si>
  <si>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</si>
  <si>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</si>
  <si>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</si>
  <si>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</si>
  <si>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</si>
  <si>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</si>
  <si>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</si>
  <si>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</si>
  <si>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</si>
  <si>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</si>
  <si>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</si>
  <si>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</si>
  <si>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</si>
  <si>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</si>
  <si>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</si>
  <si>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</si>
  <si>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</si>
  <si>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</si>
  <si>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</si>
  <si>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</si>
  <si>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</si>
  <si>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</si>
  <si>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</si>
  <si>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</si>
  <si>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</si>
  <si>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</si>
  <si>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</si>
  <si>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</si>
  <si>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</si>
  <si>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</si>
  <si>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</si>
  <si>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</si>
  <si>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</si>
  <si>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</si>
  <si>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</si>
  <si>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</si>
  <si>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</si>
  <si>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</si>
  <si>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</si>
  <si>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</si>
  <si>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</si>
  <si>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</si>
  <si>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</si>
  <si>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</si>
  <si>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</si>
  <si>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</si>
  <si>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</si>
  <si>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</si>
  <si>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</si>
  <si>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</si>
  <si>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</si>
  <si>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</si>
  <si>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</si>
  <si>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</si>
  <si>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</si>
  <si>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</si>
  <si>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</si>
  <si>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</si>
  <si>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</si>
  <si>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</si>
  <si>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</si>
  <si>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</si>
  <si>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</si>
  <si>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</si>
  <si>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</si>
  <si>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</si>
  <si>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</si>
  <si>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</si>
  <si>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</si>
  <si>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</si>
  <si>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</si>
  <si>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</si>
  <si>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</si>
  <si>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</si>
  <si>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</si>
  <si>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</si>
  <si>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</si>
  <si>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</si>
  <si>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</si>
  <si>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</si>
  <si>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</si>
  <si>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</si>
  <si>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</si>
  <si>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</si>
  <si>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</si>
  <si>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</si>
  <si>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</si>
  <si>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</si>
  <si>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</si>
  <si>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</si>
  <si>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</si>
  <si>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</si>
  <si>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</si>
  <si>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</si>
  <si>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</si>
  <si>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</si>
  <si>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</si>
  <si>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</si>
  <si>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</si>
  <si>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</si>
  <si>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</si>
  <si>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</si>
  <si>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</si>
  <si>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</si>
  <si>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</si>
  <si>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</si>
  <si>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</si>
  <si>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</si>
  <si>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</si>
  <si>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</si>
  <si>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</si>
  <si>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</si>
  <si>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</si>
  <si>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</si>
  <si>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</si>
  <si>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</si>
  <si>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</si>
  <si>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</si>
  <si>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</si>
  <si>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</si>
  <si>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</si>
  <si>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</si>
  <si>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</si>
  <si>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</si>
  <si>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</si>
  <si>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</si>
  <si>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</si>
  <si>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</si>
  <si>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</si>
  <si>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</si>
  <si>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</si>
  <si>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</si>
  <si>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</si>
  <si>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</si>
  <si>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</si>
  <si>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</si>
  <si>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</si>
  <si>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</si>
  <si>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</si>
  <si>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</si>
  <si>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</si>
  <si>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</si>
  <si>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</si>
  <si>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</si>
  <si>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</si>
  <si>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</si>
  <si>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</si>
  <si>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</si>
  <si>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</si>
  <si>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</si>
  <si>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</si>
  <si>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</si>
  <si>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</si>
  <si>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</si>
  <si>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</si>
  <si>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</si>
  <si>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</si>
  <si>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</si>
  <si>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</si>
  <si>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</si>
  <si>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</si>
  <si>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</si>
  <si>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</si>
  <si>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</si>
  <si>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</si>
  <si>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</si>
  <si>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</si>
  <si>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</si>
  <si>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</si>
  <si>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</si>
  <si>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</si>
  <si>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</si>
  <si>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</si>
  <si>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</si>
  <si>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</si>
  <si>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</si>
  <si>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</si>
  <si>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</si>
  <si>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</si>
  <si>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</si>
  <si>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</si>
  <si>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</si>
  <si>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</si>
  <si>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</si>
  <si>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</si>
  <si>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</si>
  <si>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</si>
  <si>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</si>
  <si>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</si>
  <si>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</si>
  <si>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</si>
  <si>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</si>
  <si>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</si>
  <si>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</si>
  <si>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</si>
  <si>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</si>
  <si>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</si>
  <si>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</si>
  <si>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</si>
  <si>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</si>
  <si>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</si>
  <si>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</si>
  <si>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</si>
  <si>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</si>
  <si>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</si>
  <si>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</si>
  <si>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</si>
  <si>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</si>
  <si>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</si>
  <si>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</si>
  <si>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</si>
  <si>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</si>
  <si>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</si>
  <si>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</si>
  <si>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</si>
  <si>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</si>
  <si>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</si>
  <si>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</si>
  <si>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</si>
  <si>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</si>
  <si>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</si>
  <si>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</si>
  <si>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</si>
  <si>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</si>
  <si>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</si>
  <si>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</si>
  <si>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</si>
  <si>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</si>
  <si>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</si>
  <si>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</si>
  <si>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</si>
  <si>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</si>
  <si>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</si>
  <si>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</si>
  <si>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</si>
  <si>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</si>
  <si>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</si>
  <si>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</si>
  <si>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</si>
  <si>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</si>
  <si>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</si>
  <si>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</si>
  <si>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</si>
  <si>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</si>
  <si>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</si>
  <si>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</si>
  <si>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</si>
  <si>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</si>
  <si>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</si>
  <si>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</si>
  <si>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</si>
  <si>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</si>
  <si>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</si>
  <si>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</si>
  <si>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</si>
  <si>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</si>
  <si>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</si>
  <si>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</si>
  <si>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</si>
  <si>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</si>
  <si>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</si>
  <si>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</si>
  <si>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</si>
  <si>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</si>
  <si>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</si>
  <si>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</si>
  <si>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</si>
  <si>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</si>
  <si>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</si>
  <si>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</si>
  <si>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</si>
  <si>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</si>
  <si>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</si>
  <si>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</si>
  <si>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</si>
  <si>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</si>
  <si>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</si>
  <si>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</si>
  <si>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</si>
  <si>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</si>
  <si>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</si>
  <si>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</si>
  <si>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</si>
  <si>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</si>
  <si>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</si>
  <si>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</si>
  <si>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</si>
  <si>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</si>
  <si>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</si>
  <si>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</si>
  <si>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</si>
  <si>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</si>
  <si>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</si>
  <si>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</si>
  <si>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</si>
  <si>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</si>
  <si>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</si>
  <si>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</si>
  <si>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</si>
  <si>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</si>
  <si>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</si>
  <si>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</si>
  <si>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</si>
  <si>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</si>
  <si>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</si>
  <si>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</si>
  <si>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</si>
  <si>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</si>
  <si>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</si>
  <si>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</si>
  <si>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</si>
  <si>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</si>
  <si>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</si>
  <si>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</si>
  <si>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</si>
  <si>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</si>
  <si>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</si>
  <si>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</si>
  <si>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</si>
  <si>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</si>
  <si>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</si>
  <si>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</si>
  <si>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</si>
  <si>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</si>
  <si>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</si>
  <si>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</si>
  <si>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</si>
  <si>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</si>
  <si>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</si>
  <si>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</si>
  <si>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</si>
  <si>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</si>
  <si>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</si>
  <si>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</si>
  <si>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</si>
  <si>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</si>
  <si>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</si>
  <si>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</si>
  <si>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</si>
  <si>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</si>
  <si>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</si>
  <si>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</si>
  <si>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</si>
  <si>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</si>
  <si>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</si>
  <si>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</si>
  <si>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</si>
  <si>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</si>
  <si>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</si>
  <si>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</si>
  <si>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</si>
  <si>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</si>
  <si>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</si>
  <si>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</si>
  <si>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</si>
  <si>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</si>
  <si>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</si>
  <si>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</si>
  <si>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</si>
  <si>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</si>
  <si>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</si>
  <si>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</si>
  <si>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</si>
  <si>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</si>
  <si>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</si>
  <si>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</si>
  <si>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</si>
  <si>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</si>
  <si>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</si>
  <si>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</si>
  <si>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</si>
  <si>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</si>
  <si>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</si>
  <si>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</si>
  <si>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</si>
  <si>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</si>
  <si>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</si>
  <si>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</si>
  <si>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</si>
  <si>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</si>
  <si>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</si>
  <si>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</si>
  <si>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</si>
  <si>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</si>
  <si>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</si>
  <si>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</si>
  <si>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</si>
  <si>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</si>
  <si>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</si>
  <si>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</si>
  <si>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</si>
  <si>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</si>
  <si>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</si>
  <si>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</si>
  <si>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</si>
  <si>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</si>
  <si>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</si>
  <si>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</si>
  <si>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</si>
  <si>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</si>
  <si>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</si>
  <si>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</si>
  <si>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</si>
  <si>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</si>
  <si>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</si>
  <si>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</si>
  <si>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</si>
  <si>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</si>
  <si>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</si>
  <si>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</si>
  <si>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</si>
  <si>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</si>
  <si>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</si>
  <si>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</si>
  <si>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</si>
  <si>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</si>
  <si>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</si>
  <si>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</si>
  <si>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</si>
  <si>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</si>
  <si>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</si>
  <si>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</si>
  <si>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</si>
  <si>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</si>
  <si>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</si>
  <si>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</si>
  <si>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</si>
  <si>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</si>
  <si>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</si>
  <si>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</si>
  <si>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</si>
  <si>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</si>
  <si>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</si>
  <si>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</si>
  <si>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</si>
  <si>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</si>
  <si>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</si>
  <si>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</si>
  <si>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</si>
  <si>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</si>
  <si>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</si>
  <si>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</si>
  <si>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</si>
  <si>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</si>
  <si>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</si>
  <si>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</si>
  <si>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</si>
  <si>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</si>
  <si>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</si>
  <si>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</si>
  <si>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</si>
  <si>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</si>
  <si>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</si>
  <si>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</si>
  <si>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</si>
  <si>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</si>
  <si>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</si>
  <si>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</si>
  <si>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</si>
  <si>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</si>
  <si>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</si>
  <si>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</si>
  <si>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</si>
  <si>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</si>
  <si>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</si>
  <si>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</si>
  <si>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</si>
  <si>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</si>
  <si>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</si>
  <si>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</si>
  <si>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</si>
  <si>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</si>
  <si>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</si>
  <si>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</si>
  <si>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</si>
  <si>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</si>
  <si>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</si>
  <si>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</si>
  <si>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</si>
  <si>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</si>
  <si>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</si>
  <si>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</si>
  <si>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</si>
  <si>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</si>
  <si>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</si>
  <si>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</si>
  <si>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</si>
  <si>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</si>
  <si>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</si>
  <si>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</si>
  <si>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</si>
  <si>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</si>
  <si>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</si>
  <si>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</si>
  <si>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</si>
  <si>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</si>
  <si>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</si>
  <si>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</si>
  <si>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</si>
  <si>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</si>
  <si>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</si>
  <si>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</si>
  <si>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</si>
  <si>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</si>
  <si>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</si>
  <si>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</si>
  <si>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</si>
  <si>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</si>
  <si>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</si>
  <si>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</si>
  <si>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</si>
  <si>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</si>
  <si>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</si>
  <si>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</si>
  <si>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</si>
  <si>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</si>
  <si>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</si>
  <si>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</si>
  <si>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</si>
  <si>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</si>
  <si>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</si>
  <si>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</si>
  <si>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</si>
  <si>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</si>
  <si>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</si>
  <si>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</si>
  <si>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</si>
  <si>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</si>
  <si>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</si>
  <si>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</si>
  <si>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</si>
  <si>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</si>
  <si>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</si>
  <si>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</si>
  <si>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</si>
  <si>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</si>
  <si>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</si>
  <si>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</si>
  <si>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</si>
  <si>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</si>
  <si>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</si>
  <si>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</si>
  <si>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</si>
  <si>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</si>
  <si>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</si>
  <si>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</si>
  <si>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</si>
  <si>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</si>
  <si>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</si>
  <si>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</si>
  <si>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</si>
  <si>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</si>
  <si>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</si>
  <si>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</si>
  <si>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</si>
  <si>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</si>
  <si>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</si>
  <si>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</si>
  <si>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</si>
  <si>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</si>
  <si>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</si>
  <si>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</si>
  <si>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</si>
  <si>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</si>
  <si>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</si>
  <si>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</si>
  <si>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</si>
  <si>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</si>
  <si>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</si>
  <si>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</si>
  <si>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</si>
  <si>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</si>
  <si>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</si>
  <si>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</si>
  <si>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</si>
  <si>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</si>
  <si>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</si>
  <si>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</si>
  <si>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</si>
  <si>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</si>
  <si>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</si>
  <si>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</si>
  <si>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</si>
  <si>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</si>
  <si>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</si>
  <si>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</si>
  <si>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</si>
  <si>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</si>
  <si>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</si>
  <si>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</si>
  <si>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</si>
  <si>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</si>
  <si>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</si>
  <si>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</si>
  <si>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</si>
  <si>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</si>
  <si>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</si>
  <si>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</si>
  <si>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</si>
  <si>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</si>
  <si>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</si>
  <si>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</si>
  <si>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</si>
  <si>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</si>
  <si>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</si>
  <si>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</si>
  <si>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</si>
  <si>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</si>
  <si>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</si>
  <si>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</si>
  <si>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</si>
  <si>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</si>
  <si>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</si>
  <si>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</si>
  <si>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</si>
  <si>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</si>
  <si>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</si>
  <si>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</si>
  <si>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</si>
  <si>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</si>
  <si>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</si>
  <si>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</si>
  <si>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</si>
  <si>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</si>
  <si>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</si>
  <si>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</si>
  <si>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</si>
  <si>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</si>
  <si>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</si>
  <si>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</si>
  <si>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</si>
  <si>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</si>
  <si>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</si>
  <si>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</si>
  <si>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</si>
  <si>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</si>
  <si>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</si>
  <si>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</si>
  <si>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</si>
  <si>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</si>
  <si>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</si>
  <si>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</si>
  <si>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</si>
  <si>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</si>
  <si>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</si>
  <si>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</si>
  <si>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</si>
  <si>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</si>
  <si>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</si>
  <si>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</si>
  <si>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</si>
  <si>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</si>
  <si>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</si>
  <si>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</si>
  <si>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</si>
  <si>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</si>
  <si>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</si>
  <si>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</si>
  <si>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</si>
  <si>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</si>
  <si>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</si>
  <si>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</si>
  <si>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</si>
  <si>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</si>
  <si>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</si>
  <si>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</si>
  <si>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</si>
  <si>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</si>
  <si>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</si>
  <si>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</si>
  <si>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</si>
  <si>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</si>
  <si>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</si>
  <si>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</si>
  <si>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</si>
  <si>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</si>
  <si>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</si>
  <si>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</si>
  <si>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</si>
  <si>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</si>
  <si>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</si>
  <si>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</si>
  <si>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</si>
  <si>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</si>
  <si>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</si>
  <si>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</si>
  <si>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</si>
  <si>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</si>
  <si>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</si>
  <si>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</si>
  <si>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</si>
  <si>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</si>
  <si>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</si>
  <si>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</si>
  <si>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</si>
  <si>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</si>
  <si>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</si>
  <si>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</si>
  <si>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</si>
  <si>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</si>
  <si>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</si>
  <si>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</si>
  <si>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</si>
  <si>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</si>
  <si>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</si>
  <si>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</si>
  <si>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</si>
  <si>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</si>
  <si>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</si>
  <si>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</si>
  <si>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</si>
  <si>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</si>
  <si>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</si>
  <si>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</si>
  <si>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</si>
  <si>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</si>
  <si>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</si>
  <si>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</si>
  <si>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</si>
  <si>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</si>
  <si>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</si>
  <si>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</si>
  <si>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</si>
  <si>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</si>
  <si>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</si>
  <si>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</si>
  <si>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</si>
  <si>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</si>
  <si>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</si>
  <si>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</si>
  <si>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</si>
  <si>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</si>
  <si>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</si>
  <si>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</si>
  <si>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</si>
  <si>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</si>
  <si>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</si>
  <si>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</si>
  <si>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</si>
  <si>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</si>
  <si>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</si>
  <si>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</si>
  <si>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</si>
  <si>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</si>
  <si>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</si>
  <si>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</si>
  <si>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</si>
  <si>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</si>
  <si>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</si>
  <si>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</si>
  <si>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</si>
  <si>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</si>
  <si>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</si>
  <si>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</si>
  <si>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</si>
  <si>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</si>
  <si>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</si>
  <si>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</si>
  <si>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</si>
  <si>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</si>
  <si>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</si>
  <si>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</si>
  <si>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</si>
  <si>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</si>
  <si>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</si>
  <si>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</si>
  <si>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</si>
  <si>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</si>
  <si>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</si>
  <si>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</si>
  <si>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</si>
  <si>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</si>
  <si>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</si>
  <si>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</si>
  <si>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</si>
  <si>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</si>
  <si>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</si>
  <si>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</si>
  <si>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</si>
  <si>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</si>
  <si>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</si>
  <si>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</si>
  <si>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</si>
  <si>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</si>
  <si>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</si>
  <si>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</si>
  <si>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</si>
  <si>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</si>
  <si>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</si>
  <si>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</si>
  <si>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</si>
  <si>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</si>
  <si>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</si>
  <si>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</si>
  <si>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</si>
  <si>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</si>
  <si>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</si>
  <si>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</si>
  <si>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</si>
  <si>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</si>
  <si>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</si>
  <si>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</si>
  <si>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</si>
  <si>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</si>
  <si>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</si>
  <si>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</si>
  <si>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</si>
  <si>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</si>
  <si>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</si>
  <si>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</si>
  <si>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</si>
  <si>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</si>
  <si>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</si>
  <si>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</si>
  <si>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</si>
  <si>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</si>
  <si>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</si>
  <si>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</si>
  <si>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</si>
  <si>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</si>
  <si>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</si>
  <si>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</si>
  <si>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</si>
  <si>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</si>
  <si>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</si>
  <si>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</si>
  <si>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</si>
  <si>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</si>
  <si>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</si>
  <si>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</si>
  <si>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</si>
  <si>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</si>
  <si>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</si>
  <si>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</si>
  <si>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</si>
  <si>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</si>
  <si>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</si>
  <si>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</si>
  <si>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</si>
  <si>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</si>
  <si>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</si>
  <si>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</si>
  <si>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</si>
  <si>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</si>
  <si>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</si>
  <si>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</si>
  <si>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</si>
  <si>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</si>
  <si>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</si>
  <si>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</si>
  <si>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</si>
  <si>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</si>
  <si>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</si>
  <si>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</si>
  <si>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</si>
  <si>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</si>
  <si>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</si>
  <si>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</si>
  <si>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</si>
  <si>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</si>
  <si>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</si>
  <si>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</si>
  <si>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</si>
  <si>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</si>
  <si>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</si>
  <si>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</si>
  <si>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</si>
  <si>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</si>
  <si>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</si>
  <si>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</si>
  <si>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</si>
  <si>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</si>
  <si>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</si>
  <si>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</si>
  <si>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</si>
  <si>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</si>
  <si>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</si>
  <si>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</si>
  <si>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</si>
  <si>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</si>
  <si>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</si>
  <si>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</si>
  <si>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</si>
  <si>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</si>
  <si>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</si>
  <si>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</si>
  <si>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</si>
  <si>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</si>
  <si>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</si>
  <si>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</si>
  <si>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</si>
  <si>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</si>
  <si>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</si>
  <si>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</si>
  <si>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</si>
  <si>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</si>
  <si>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</si>
  <si>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</si>
  <si>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</si>
  <si>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</si>
  <si>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</si>
  <si>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</si>
  <si>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</si>
  <si>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</si>
  <si>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</si>
  <si>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</si>
  <si>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</si>
  <si>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</si>
  <si>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</si>
  <si>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</si>
  <si>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</si>
  <si>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</si>
  <si>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</si>
  <si>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</si>
  <si>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</si>
  <si>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</si>
  <si>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</si>
  <si>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</si>
  <si>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</si>
  <si>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</si>
  <si>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</si>
  <si>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</si>
  <si>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</si>
  <si>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</si>
  <si>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</si>
  <si>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</si>
  <si>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</si>
  <si>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</si>
  <si>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</si>
  <si>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</si>
  <si>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</si>
  <si>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</si>
  <si>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</si>
  <si>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</si>
  <si>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</si>
  <si>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</si>
  <si>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</si>
  <si>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</si>
  <si>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</si>
  <si>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</si>
  <si>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</si>
  <si>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</si>
  <si>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</si>
  <si>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</si>
  <si>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</si>
  <si>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</si>
  <si>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</si>
  <si>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</si>
  <si>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</si>
  <si>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</si>
  <si>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</si>
  <si>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</si>
  <si>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</si>
  <si>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</si>
  <si>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</si>
  <si>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</si>
  <si>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</si>
  <si>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</si>
  <si>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</si>
  <si>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</si>
  <si>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</si>
  <si>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</si>
  <si>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</si>
  <si>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</si>
  <si>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</si>
  <si>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</si>
  <si>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</si>
  <si>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</si>
  <si>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</si>
  <si>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</si>
  <si>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</si>
  <si>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</si>
  <si>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</si>
  <si>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</si>
  <si>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</si>
  <si>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</si>
  <si>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</si>
  <si>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</si>
  <si>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</si>
  <si>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</si>
  <si>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</si>
  <si>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</si>
  <si>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</si>
  <si>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</si>
  <si>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</si>
  <si>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</si>
  <si>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</si>
  <si>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</si>
  <si>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</si>
  <si>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</si>
  <si>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</si>
  <si>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</si>
  <si>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</si>
  <si>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</si>
  <si>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</si>
  <si>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</si>
  <si>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</si>
  <si>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</si>
  <si>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</si>
  <si>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</si>
  <si>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</si>
  <si>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</si>
  <si>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</si>
  <si>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</si>
  <si>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</si>
  <si>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</si>
  <si>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</si>
  <si>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</si>
  <si>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</si>
  <si>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</si>
  <si>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</si>
  <si>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</si>
  <si>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</si>
  <si>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</si>
  <si>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</si>
  <si>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</si>
  <si>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</si>
  <si>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</si>
  <si>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</si>
  <si>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</si>
  <si>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</si>
  <si>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</si>
  <si>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</si>
  <si>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</si>
  <si>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</si>
  <si>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</si>
  <si>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</si>
  <si>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</si>
  <si>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</si>
  <si>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</si>
  <si>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</si>
  <si>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</si>
  <si>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</si>
  <si>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</si>
  <si>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</si>
  <si>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</si>
  <si>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</si>
  <si>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</si>
  <si>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</si>
  <si>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</si>
  <si>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</si>
  <si>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</si>
  <si>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</si>
  <si>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</si>
  <si>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</si>
  <si>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</si>
  <si>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</si>
  <si>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</si>
  <si>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</si>
  <si>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</si>
  <si>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</si>
  <si>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</si>
  <si>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</si>
  <si>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</si>
  <si>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</si>
  <si>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</si>
  <si>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</si>
  <si>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</si>
  <si>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</si>
  <si>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</si>
  <si>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</si>
  <si>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</si>
  <si>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</si>
  <si>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</si>
  <si>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</si>
  <si>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</si>
  <si>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</si>
  <si>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</si>
  <si>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</si>
  <si>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</si>
  <si>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</si>
  <si>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</si>
  <si>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</si>
  <si>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</si>
  <si>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</si>
  <si>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</si>
  <si>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</si>
  <si>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</si>
  <si>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</si>
  <si>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</si>
  <si>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</si>
  <si>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</si>
  <si>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</si>
  <si>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</si>
  <si>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</si>
  <si>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</si>
  <si>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</si>
  <si>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</si>
  <si>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</si>
  <si>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</si>
  <si>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</si>
  <si>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</si>
  <si>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</si>
  <si>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</si>
  <si>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</si>
  <si>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</si>
  <si>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</si>
  <si>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</si>
  <si>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</si>
  <si>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</si>
  <si>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</si>
  <si>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</si>
  <si>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</si>
  <si>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</si>
  <si>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</si>
  <si>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</si>
  <si>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</si>
  <si>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</si>
  <si>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</si>
  <si>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</si>
  <si>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</si>
  <si>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</si>
  <si>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</si>
  <si>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</si>
  <si>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</si>
  <si>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</si>
  <si>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</si>
  <si>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</si>
  <si>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</si>
  <si>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</si>
  <si>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</si>
  <si>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</si>
  <si>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</si>
  <si>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</si>
  <si>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</si>
  <si>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</si>
  <si>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</si>
  <si>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</si>
  <si>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</si>
  <si>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</si>
  <si>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</si>
  <si>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</si>
  <si>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</si>
  <si>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</si>
  <si>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</si>
  <si>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</si>
  <si>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</si>
  <si>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</si>
  <si>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</si>
  <si>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</si>
  <si>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</si>
  <si>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</si>
  <si>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</si>
  <si>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</si>
  <si>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</si>
  <si>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</si>
  <si>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</si>
  <si>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</si>
  <si>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</si>
  <si>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</si>
  <si>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</si>
  <si>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</si>
  <si>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</si>
  <si>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</si>
  <si>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</si>
  <si>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</si>
  <si>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</si>
  <si>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</si>
  <si>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</si>
  <si>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</si>
  <si>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</si>
  <si>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</si>
  <si>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</si>
  <si>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</si>
  <si>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</si>
  <si>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</si>
  <si>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</si>
  <si>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</si>
  <si>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</si>
  <si>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</si>
  <si>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</si>
  <si>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</si>
  <si>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</si>
  <si>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</si>
  <si>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</si>
  <si>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</si>
  <si>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</si>
  <si>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</si>
  <si>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</si>
  <si>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</si>
  <si>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</si>
  <si>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</si>
  <si>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</si>
  <si>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</si>
  <si>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</si>
  <si>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</si>
  <si>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</si>
  <si>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</si>
  <si>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</si>
  <si>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</si>
  <si>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</si>
  <si>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</si>
  <si>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</si>
  <si>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</si>
  <si>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</si>
  <si>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</si>
  <si>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</si>
  <si>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</si>
  <si>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</si>
  <si>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</si>
  <si>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</si>
  <si>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</si>
  <si>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</si>
  <si>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</si>
  <si>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</si>
  <si>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</si>
  <si>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</si>
  <si>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</si>
  <si>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</si>
  <si>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</si>
  <si>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</si>
  <si>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</si>
  <si>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</si>
  <si>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</si>
  <si>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</si>
  <si>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</si>
  <si>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</si>
  <si>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</si>
  <si>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</si>
  <si>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</si>
  <si>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</si>
  <si>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</si>
  <si>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</si>
  <si>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</si>
  <si>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</si>
  <si>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</si>
  <si>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</si>
  <si>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</si>
  <si>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</si>
  <si>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</si>
  <si>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</si>
  <si>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</si>
  <si>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</si>
  <si>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</si>
  <si>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</si>
  <si>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</si>
  <si>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</si>
  <si>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</si>
  <si>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</si>
  <si>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</si>
  <si>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</si>
  <si>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</si>
  <si>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</si>
  <si>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</si>
  <si>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</si>
  <si>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</si>
  <si>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</si>
  <si>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</si>
  <si>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</si>
  <si>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</si>
  <si>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</si>
  <si>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</si>
  <si>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</si>
  <si>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</si>
  <si>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</si>
  <si>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</si>
  <si>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</si>
  <si>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</si>
  <si>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</si>
  <si>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</si>
  <si>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</si>
  <si>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</si>
  <si>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</si>
  <si>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</si>
  <si>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</si>
  <si>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</si>
  <si>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</si>
  <si>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</si>
  <si>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</si>
  <si>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</si>
  <si>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</si>
  <si>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</si>
  <si>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</si>
  <si>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</si>
  <si>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</si>
  <si>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</si>
  <si>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</si>
  <si>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</si>
  <si>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</si>
  <si>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</si>
  <si>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</si>
  <si>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</si>
  <si>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</si>
  <si>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</si>
  <si>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</si>
  <si>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</si>
  <si>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</si>
  <si>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</si>
  <si>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</si>
  <si>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</si>
  <si>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</si>
  <si>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</si>
  <si>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</si>
  <si>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</si>
  <si>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</si>
  <si>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</si>
  <si>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</si>
  <si>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</si>
  <si>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</si>
  <si>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</si>
  <si>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</si>
  <si>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</si>
  <si>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</si>
  <si>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</si>
  <si>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</si>
  <si>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</si>
  <si>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</si>
  <si>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</si>
  <si>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</si>
  <si>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</si>
  <si>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</si>
  <si>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</si>
  <si>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</si>
  <si>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</si>
  <si>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</si>
  <si>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</si>
  <si>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</si>
  <si>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</si>
  <si>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</si>
  <si>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</si>
  <si>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</si>
  <si>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</si>
  <si>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</si>
  <si>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</si>
  <si>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</si>
  <si>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</si>
  <si>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</si>
  <si>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</si>
  <si>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</si>
  <si>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</si>
  <si>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</si>
  <si>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</si>
  <si>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</si>
  <si>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</si>
  <si>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</si>
  <si>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</si>
  <si>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</si>
  <si>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</si>
  <si>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</si>
  <si>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</si>
  <si>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</si>
  <si>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</si>
  <si>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</si>
  <si>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</si>
  <si>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</si>
  <si>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</si>
  <si>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</si>
  <si>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</si>
  <si>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</si>
  <si>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</si>
  <si>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</si>
  <si>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</si>
  <si>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</si>
  <si>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</si>
  <si>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</si>
  <si>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</si>
  <si>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</si>
  <si>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</si>
  <si>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</si>
  <si>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</si>
  <si>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</si>
  <si>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</si>
  <si>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</si>
  <si>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</si>
  <si>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</si>
  <si>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</si>
  <si>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</si>
  <si>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</si>
  <si>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</si>
  <si>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</si>
  <si>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</si>
  <si>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</si>
  <si>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</si>
  <si>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</si>
  <si>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</si>
  <si>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</si>
  <si>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</si>
  <si>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</si>
  <si>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</si>
  <si>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</si>
  <si>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</si>
  <si>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</si>
  <si>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</si>
  <si>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</si>
  <si>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</si>
  <si>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</si>
  <si>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</si>
  <si>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</si>
  <si>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</si>
  <si>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</si>
  <si>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</si>
  <si>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</si>
  <si>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</si>
  <si>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</si>
  <si>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</si>
  <si>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</si>
  <si>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</si>
  <si>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</si>
  <si>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</si>
  <si>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</si>
  <si>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</si>
  <si>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</si>
  <si>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</si>
  <si>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</si>
  <si>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</si>
  <si>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</si>
  <si>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</si>
  <si>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</si>
  <si>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</si>
  <si>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</si>
  <si>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</si>
  <si>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</si>
  <si>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</si>
  <si>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</si>
  <si>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</si>
  <si>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</si>
  <si>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</si>
  <si>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</si>
  <si>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</si>
  <si>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</si>
  <si>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</si>
  <si>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</si>
  <si>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</si>
  <si>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</si>
  <si>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</si>
  <si>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</si>
  <si>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</si>
  <si>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</si>
  <si>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</si>
  <si>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</si>
  <si>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</si>
  <si>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</si>
  <si>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</si>
  <si>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</si>
  <si>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</si>
  <si>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</si>
  <si>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</si>
  <si>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</si>
  <si>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</si>
  <si>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</si>
  <si>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</si>
  <si>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</si>
  <si>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</si>
  <si>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</si>
  <si>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</si>
  <si>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</si>
  <si>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</si>
  <si>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</si>
  <si>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</si>
  <si>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</si>
  <si>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</si>
  <si>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</si>
  <si>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</si>
  <si>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</si>
  <si>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</si>
  <si>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</si>
  <si>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</si>
  <si>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</si>
  <si>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</si>
  <si>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</si>
  <si>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</si>
  <si>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</si>
  <si>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</si>
  <si>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</si>
  <si>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</si>
  <si>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</si>
  <si>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</si>
  <si>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</si>
  <si>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</si>
  <si>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</si>
  <si>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</si>
  <si>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</si>
  <si>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</si>
  <si>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</si>
  <si>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</si>
  <si>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</si>
  <si>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</si>
  <si>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</si>
  <si>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</si>
  <si>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</si>
  <si>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</si>
  <si>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</si>
  <si>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</si>
  <si>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</si>
  <si>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</si>
  <si>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</si>
  <si>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</si>
  <si>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</si>
  <si>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</si>
  <si>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</si>
  <si>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</si>
  <si>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</si>
  <si>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</si>
  <si>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</si>
  <si>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</si>
  <si>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</si>
  <si>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</si>
  <si>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</si>
  <si>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</si>
  <si>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</si>
  <si>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</si>
  <si>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</si>
  <si>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</si>
  <si>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</si>
  <si>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</si>
  <si>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</si>
  <si>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</si>
  <si>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</si>
  <si>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</si>
  <si>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</si>
  <si>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</si>
  <si>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</si>
  <si>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</si>
  <si>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</si>
  <si>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</si>
  <si>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</si>
  <si>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</si>
  <si>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</si>
  <si>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</si>
  <si>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</si>
  <si>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</si>
  <si>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</si>
  <si>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</si>
  <si>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</si>
  <si>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</si>
  <si>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</si>
  <si>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</si>
  <si>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</si>
  <si>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</si>
  <si>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</si>
  <si>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</si>
  <si>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</si>
  <si>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</si>
  <si>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</si>
  <si>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</si>
  <si>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</si>
  <si>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</si>
  <si>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</si>
  <si>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</si>
  <si>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</si>
  <si>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</si>
  <si>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</si>
  <si>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</si>
  <si>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</si>
  <si>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</si>
  <si>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</si>
  <si>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</si>
  <si>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</si>
  <si>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</si>
  <si>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</si>
  <si>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</si>
  <si>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</si>
  <si>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</si>
  <si>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</si>
  <si>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</si>
  <si>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</si>
  <si>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</si>
  <si>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</si>
  <si>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</si>
  <si>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</si>
  <si>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</si>
  <si>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</si>
  <si>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</si>
  <si>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</si>
  <si>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</si>
  <si>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</si>
  <si>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</si>
  <si>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</si>
  <si>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</si>
  <si>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</si>
  <si>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</si>
  <si>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</si>
  <si>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</si>
  <si>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</si>
  <si>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</si>
  <si>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</si>
  <si>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</si>
  <si>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</si>
  <si>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</si>
  <si>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</si>
  <si>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</si>
  <si>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</si>
  <si>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</si>
  <si>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</si>
  <si>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</si>
  <si>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</si>
  <si>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</si>
  <si>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</si>
  <si>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</si>
  <si>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</si>
  <si>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</si>
  <si>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</si>
  <si>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</si>
  <si>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</si>
  <si>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</si>
  <si>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</si>
  <si>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</si>
  <si>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</si>
  <si>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</si>
  <si>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</si>
  <si>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</si>
  <si>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</si>
  <si>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</si>
  <si>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</si>
  <si>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</si>
  <si>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</si>
  <si>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</si>
  <si>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</si>
  <si>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</si>
  <si>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</si>
  <si>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</si>
  <si>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</si>
  <si>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</si>
  <si>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</si>
  <si>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</si>
  <si>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</si>
  <si>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</si>
  <si>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</si>
  <si>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</si>
  <si>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</si>
  <si>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</si>
  <si>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</si>
  <si>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</si>
  <si>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</si>
  <si>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</si>
  <si>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</si>
  <si>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</si>
  <si>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</si>
  <si>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</si>
  <si>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</si>
  <si>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</si>
  <si>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</si>
  <si>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</si>
  <si>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</si>
  <si>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</si>
  <si>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</si>
  <si>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</si>
  <si>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</si>
  <si>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</si>
  <si>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</si>
  <si>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</si>
  <si>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</si>
  <si>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</si>
  <si>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</si>
  <si>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</si>
  <si>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</si>
  <si>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</si>
  <si>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</si>
  <si>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</si>
  <si>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</si>
  <si>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</si>
  <si>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</si>
  <si>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</si>
  <si>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</si>
  <si>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</si>
  <si>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</si>
  <si>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</si>
  <si>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</si>
  <si>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</si>
  <si>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</si>
  <si>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</si>
  <si>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</si>
  <si>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</si>
  <si>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</si>
  <si>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</si>
  <si>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</si>
  <si>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</si>
  <si>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</si>
  <si>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</si>
  <si>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</si>
  <si>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</si>
  <si>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</si>
  <si>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</si>
  <si>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</si>
  <si>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</si>
  <si>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</si>
  <si>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</si>
  <si>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</si>
  <si>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</si>
  <si>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</si>
  <si>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</si>
  <si>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</si>
  <si>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</si>
  <si>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</si>
  <si>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</si>
  <si>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</si>
  <si>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</si>
  <si>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</si>
  <si>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</si>
  <si>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</si>
  <si>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</si>
  <si>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</si>
  <si>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</si>
  <si>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</si>
  <si>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</si>
  <si>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</si>
  <si>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</si>
  <si>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</si>
  <si>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</si>
  <si>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</si>
  <si>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</si>
  <si>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</si>
  <si>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</si>
  <si>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</si>
  <si>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37862172935</t>
  </si>
  <si>
    <t>02244055</t>
  </si>
  <si>
    <t>030092813</t>
  </si>
  <si>
    <t>VUKOVARSKA GOSPODARSKA ZONA DOO</t>
  </si>
  <si>
    <t>VUKOVAR</t>
  </si>
  <si>
    <t>davor.foris@vgz.hr</t>
  </si>
  <si>
    <t>098/281-873</t>
  </si>
  <si>
    <t>00332852</t>
  </si>
  <si>
    <t>FINA RAČUNOVODSTVENI SERVIS VUKOVAR</t>
  </si>
  <si>
    <t>SNEŽANA LAZIĆ</t>
  </si>
  <si>
    <t>032/455-349</t>
  </si>
  <si>
    <t>snezana.lazic@fina.hr</t>
  </si>
  <si>
    <t>DAVOR FORIŠ</t>
  </si>
  <si>
    <t>GOSPODARSKA ZONA 15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</si>
</sst>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1393245.88</v>
      </c>
      <c r="I3" s="31">
        <f>ABS(ROUND(J3,0)-J3)+ABS(ROUND(K3,0)-K3)</f>
        <v>0</v>
      </c>
      <c r="J3" s="31">
        <f>Bilanca!I10</f>
        <v>24512484</v>
      </c>
      <c r="K3" s="31">
        <f>Bilanca!J10</f>
        <v>22574905</v>
      </c>
    </row>
    <row r="4" spans="1:11" ht="12.75">
      <c r="A4" s="4" t="s">
        <v>1088</v>
      </c>
      <c r="B4" s="29" t="s">
        <v>1888</v>
      </c>
      <c r="D4" s="4" t="s">
        <v>1521</v>
      </c>
      <c r="E4" s="4">
        <v>1</v>
      </c>
      <c r="F4" s="4">
        <f>Bilanca!G11</f>
        <v>3</v>
      </c>
      <c r="G4" s="4">
        <f>IF(Bilanca!H11=0,"",Bilanca!H11)</f>
      </c>
      <c r="H4" s="30">
        <f>J4/100*F4+2*K4/100*F4</f>
        <v>4721.5199999999995</v>
      </c>
      <c r="I4" s="31">
        <f>ABS(ROUND(J4,0)-J4)+ABS(ROUND(K4,0)-K4)</f>
        <v>0</v>
      </c>
      <c r="J4" s="31">
        <f>Bilanca!I11</f>
        <v>0</v>
      </c>
      <c r="K4" s="31">
        <f>Bilanca!J11</f>
        <v>78692</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02244055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030092813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37862172935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VUKOVARSKA GOSPODARSKA ZONA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32000</v>
      </c>
      <c r="D10" s="4" t="s">
        <v>1521</v>
      </c>
      <c r="E10" s="4">
        <v>1</v>
      </c>
      <c r="F10" s="4">
        <f>Bilanca!G17</f>
        <v>9</v>
      </c>
      <c r="G10" s="4">
        <f>IF(Bilanca!H17=0,"",Bilanca!H17)</f>
      </c>
      <c r="H10" s="30">
        <f t="shared" si="0"/>
        <v>14164.56</v>
      </c>
      <c r="I10" s="31">
        <f t="shared" si="1"/>
        <v>0</v>
      </c>
      <c r="J10" s="31">
        <f>Bilanca!I17</f>
        <v>0</v>
      </c>
      <c r="K10" s="31">
        <f>Bilanca!J17</f>
        <v>78692</v>
      </c>
    </row>
    <row r="11" spans="1:11" ht="12.75">
      <c r="A11" s="4" t="s">
        <v>2356</v>
      </c>
      <c r="B11" s="29" t="str">
        <f>TRIM(RefStr!F31)</f>
        <v>VUKOVAR</v>
      </c>
      <c r="D11" s="4" t="s">
        <v>1521</v>
      </c>
      <c r="E11" s="4">
        <v>1</v>
      </c>
      <c r="F11" s="4">
        <f>Bilanca!G18</f>
        <v>10</v>
      </c>
      <c r="G11" s="4">
        <f>IF(Bilanca!H18=0,"",Bilanca!H18)</f>
      </c>
      <c r="H11" s="30">
        <f t="shared" si="0"/>
        <v>6950491</v>
      </c>
      <c r="I11" s="31">
        <f t="shared" si="1"/>
        <v>0</v>
      </c>
      <c r="J11" s="31">
        <f>Bilanca!I18</f>
        <v>24512484</v>
      </c>
      <c r="K11" s="31">
        <f>Bilanca!J18</f>
        <v>22496213</v>
      </c>
    </row>
    <row r="12" spans="1:11" ht="12.75">
      <c r="A12" s="4" t="s">
        <v>2357</v>
      </c>
      <c r="B12" s="29" t="str">
        <f>TRIM(RefStr!C33)</f>
        <v>GOSPODARSKA ZONA 15</v>
      </c>
      <c r="D12" s="4" t="s">
        <v>1521</v>
      </c>
      <c r="E12" s="4">
        <v>1</v>
      </c>
      <c r="F12" s="4">
        <f>Bilanca!G19</f>
        <v>11</v>
      </c>
      <c r="G12" s="4">
        <f>IF(Bilanca!H19=0,"",Bilanca!H19)</f>
      </c>
      <c r="H12" s="30">
        <f t="shared" si="0"/>
        <v>5041319.6899999995</v>
      </c>
      <c r="I12" s="31">
        <f t="shared" si="1"/>
        <v>0</v>
      </c>
      <c r="J12" s="31">
        <f>Bilanca!I19</f>
        <v>16624133</v>
      </c>
      <c r="K12" s="31">
        <f>Bilanca!J19</f>
        <v>14603023</v>
      </c>
    </row>
    <row r="13" spans="1:11" ht="12.75">
      <c r="A13" s="4" t="s">
        <v>1193</v>
      </c>
      <c r="B13" s="29" t="str">
        <f>TRIM(RefStr!C35)</f>
        <v>davor.foris@vgz.hr</v>
      </c>
      <c r="D13" s="4" t="s">
        <v>1521</v>
      </c>
      <c r="E13" s="4">
        <v>1</v>
      </c>
      <c r="F13" s="4">
        <f>Bilanca!G20</f>
        <v>12</v>
      </c>
      <c r="G13" s="4">
        <f>IF(Bilanca!H20=0,"",Bilanca!H20)</f>
      </c>
      <c r="H13" s="30">
        <f t="shared" si="0"/>
        <v>2839806.3599999994</v>
      </c>
      <c r="I13" s="31">
        <f t="shared" si="1"/>
        <v>0</v>
      </c>
      <c r="J13" s="31">
        <f>Bilanca!I20</f>
        <v>7888351</v>
      </c>
      <c r="K13" s="31">
        <f>Bilanca!J20</f>
        <v>7888351</v>
      </c>
    </row>
    <row r="14" spans="1:11" ht="12.75">
      <c r="A14" s="4" t="s">
        <v>1194</v>
      </c>
      <c r="B14" s="29">
        <f>TRIM(RefStr!C37)</f>
      </c>
      <c r="D14" s="4" t="s">
        <v>1521</v>
      </c>
      <c r="E14" s="4">
        <v>1</v>
      </c>
      <c r="F14" s="4">
        <f>Bilanca!G21</f>
        <v>13</v>
      </c>
      <c r="G14" s="4">
        <f>IF(Bilanca!H21=0,"",Bilanca!H21)</f>
      </c>
      <c r="H14" s="30">
        <f t="shared" si="0"/>
        <v>1258.14</v>
      </c>
      <c r="I14" s="31">
        <f t="shared" si="1"/>
        <v>0</v>
      </c>
      <c r="J14" s="31">
        <f>Bilanca!I21</f>
        <v>0</v>
      </c>
      <c r="K14" s="31">
        <f>Bilanca!J21</f>
        <v>4839</v>
      </c>
    </row>
    <row r="15" spans="1:11" ht="12.75">
      <c r="A15" s="4" t="s">
        <v>2360</v>
      </c>
      <c r="B15" s="29" t="str">
        <f>TEXT(RefStr!J39,"00")</f>
        <v>16</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518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6820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00332852</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FINA RAČUNOVODSTVENI SERVIS VUKOVAR</v>
      </c>
      <c r="D38" s="4" t="s">
        <v>1521</v>
      </c>
      <c r="E38" s="4">
        <v>1</v>
      </c>
      <c r="F38" s="4">
        <f>Bilanca!G45</f>
        <v>37</v>
      </c>
      <c r="G38" s="4">
        <f>IF(Bilanca!H45=0,"",Bilanca!H45)</f>
      </c>
      <c r="H38" s="30">
        <f t="shared" si="0"/>
        <v>1787695.6999999997</v>
      </c>
      <c r="I38" s="31">
        <f t="shared" si="1"/>
        <v>0</v>
      </c>
      <c r="J38" s="31">
        <f>Bilanca!I45</f>
        <v>955072</v>
      </c>
      <c r="K38" s="31">
        <f>Bilanca!J45</f>
        <v>1938269</v>
      </c>
    </row>
    <row r="39" spans="1:11" ht="12.75">
      <c r="A39" s="4" t="s">
        <v>1216</v>
      </c>
      <c r="B39" s="29" t="str">
        <f>RefStr!C68</f>
        <v>SNEŽANA LAZIĆ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032/455-349</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snezana.lazic@fina.hr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DAVOR FORIŠ</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1501986.48</v>
      </c>
      <c r="I47" s="31">
        <f t="shared" si="3"/>
        <v>0</v>
      </c>
      <c r="J47" s="31">
        <f>Bilanca!I54</f>
        <v>504344</v>
      </c>
      <c r="K47" s="31">
        <f>Bilanca!J54</f>
        <v>1380422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1577600.08</v>
      </c>
      <c r="I50" s="31">
        <f t="shared" si="3"/>
        <v>0</v>
      </c>
      <c r="J50" s="31">
        <f>Bilanca!I57</f>
        <v>482560</v>
      </c>
      <c r="K50" s="31">
        <f>Bilanca!J57</f>
        <v>1368516</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23253.96</v>
      </c>
      <c r="I52" s="31">
        <f t="shared" si="3"/>
        <v>0</v>
      </c>
      <c r="J52" s="31">
        <f>Bilanca!I59</f>
        <v>21784</v>
      </c>
      <c r="K52" s="31">
        <f>Bilanca!J59</f>
        <v>11906</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3137.6000000000004</v>
      </c>
      <c r="I54" s="31">
        <f t="shared" si="3"/>
        <v>0</v>
      </c>
      <c r="J54" s="31">
        <f>Bilanca!I61</f>
        <v>0</v>
      </c>
      <c r="K54" s="31">
        <f>Bilanca!J61</f>
        <v>2960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713665712.52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3611.2000000000003</v>
      </c>
      <c r="I62" s="31">
        <f t="shared" si="3"/>
        <v>0</v>
      </c>
      <c r="J62" s="31">
        <f>Bilanca!I69</f>
        <v>0</v>
      </c>
      <c r="K62" s="31">
        <f>Bilanca!J69</f>
        <v>2960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983116.26</v>
      </c>
      <c r="I64" s="31">
        <f t="shared" si="3"/>
        <v>0</v>
      </c>
      <c r="J64" s="31">
        <f>Bilanca!I71</f>
        <v>450728</v>
      </c>
      <c r="K64" s="31">
        <f>Bilanca!J71</f>
        <v>554887</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48421037.6</v>
      </c>
      <c r="I66" s="31">
        <f t="shared" si="3"/>
        <v>0</v>
      </c>
      <c r="J66" s="31">
        <f>Bilanca!I73</f>
        <v>25467556</v>
      </c>
      <c r="K66" s="31">
        <f>Bilanca!J73</f>
        <v>24513174</v>
      </c>
    </row>
    <row r="67" spans="1:11" ht="12.75">
      <c r="A67" s="4" t="s">
        <v>689</v>
      </c>
      <c r="B67" s="29" t="str">
        <f>RefStr!L35</f>
        <v>098/281-873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3874575.16</v>
      </c>
      <c r="I68" s="31">
        <f t="shared" si="3"/>
        <v>0</v>
      </c>
      <c r="J68" s="31">
        <f>Bilanca!I76</f>
        <v>1847950</v>
      </c>
      <c r="K68" s="31">
        <f>Bilanca!J76</f>
        <v>1967499</v>
      </c>
    </row>
    <row r="69" spans="1:11" ht="12.75">
      <c r="A69" s="4" t="s">
        <v>691</v>
      </c>
      <c r="B69" s="29">
        <f>RefStr!M46</f>
        <v>0</v>
      </c>
      <c r="D69" s="4" t="s">
        <v>1521</v>
      </c>
      <c r="E69" s="4">
        <v>1</v>
      </c>
      <c r="F69" s="4">
        <f>Bilanca!G77</f>
        <v>68</v>
      </c>
      <c r="G69" s="4">
        <f>IF(Bilanca!H77=0,"",Bilanca!H77)</f>
      </c>
      <c r="H69" s="30">
        <f t="shared" si="2"/>
        <v>2488800</v>
      </c>
      <c r="I69" s="31">
        <f t="shared" si="3"/>
        <v>0</v>
      </c>
      <c r="J69" s="31">
        <f>Bilanca!I77</f>
        <v>1220000</v>
      </c>
      <c r="K69" s="31">
        <f>Bilanca!J77</f>
        <v>1220000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1510848.45</v>
      </c>
      <c r="I82" s="31">
        <f t="shared" si="3"/>
        <v>0</v>
      </c>
      <c r="J82" s="31">
        <f>Bilanca!I90</f>
        <v>609345</v>
      </c>
      <c r="K82" s="31">
        <f>Bilanca!J90</f>
        <v>627950</v>
      </c>
    </row>
    <row r="83" spans="4:11" ht="12.75">
      <c r="D83" s="4" t="s">
        <v>1521</v>
      </c>
      <c r="E83" s="4">
        <v>1</v>
      </c>
      <c r="F83" s="4">
        <f>Bilanca!G91</f>
        <v>82</v>
      </c>
      <c r="G83" s="4">
        <f>IF(Bilanca!H91=0,"",Bilanca!H91)</f>
      </c>
      <c r="H83" s="30">
        <f t="shared" si="2"/>
        <v>1529500.9</v>
      </c>
      <c r="I83" s="31">
        <f t="shared" si="3"/>
        <v>0</v>
      </c>
      <c r="J83" s="31">
        <f>Bilanca!I91</f>
        <v>609345</v>
      </c>
      <c r="K83" s="31">
        <f>Bilanca!J91</f>
        <v>627950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216470.52000000002</v>
      </c>
      <c r="I85" s="31">
        <f>ABS(ROUND(J85,0)-J85)+ABS(ROUND(K85,0)-K85)</f>
        <v>0</v>
      </c>
      <c r="J85" s="31">
        <f>Bilanca!I93</f>
        <v>18605</v>
      </c>
      <c r="K85" s="31">
        <f>Bilanca!J93</f>
        <v>119549</v>
      </c>
    </row>
    <row r="86" spans="4:11" ht="12.75">
      <c r="D86" s="4" t="s">
        <v>1521</v>
      </c>
      <c r="E86" s="4">
        <v>1</v>
      </c>
      <c r="F86" s="4">
        <f>Bilanca!G94</f>
        <v>85</v>
      </c>
      <c r="G86" s="4">
        <f>IF(Bilanca!H94=0,"",Bilanca!H94)</f>
      </c>
      <c r="H86" s="30">
        <f>J86/100*F86+2*K86/100*F86</f>
        <v>219047.55</v>
      </c>
      <c r="I86" s="31">
        <f>ABS(ROUND(J86,0)-J86)+ABS(ROUND(K86,0)-K86)</f>
        <v>0</v>
      </c>
      <c r="J86" s="31">
        <f>Bilanca!I94</f>
        <v>18605</v>
      </c>
      <c r="K86" s="31">
        <f>Bilanca!J94</f>
        <v>119549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2574967.1199999996</v>
      </c>
      <c r="I89" s="31">
        <f t="shared" si="5"/>
        <v>0</v>
      </c>
      <c r="J89" s="31">
        <f>Bilanca!I97</f>
        <v>428305</v>
      </c>
      <c r="K89" s="31">
        <f>Bilanca!J97</f>
        <v>1248897</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2662750.09</v>
      </c>
      <c r="I92" s="31">
        <f t="shared" si="5"/>
        <v>0</v>
      </c>
      <c r="J92" s="31">
        <f>Bilanca!I100</f>
        <v>428305</v>
      </c>
      <c r="K92" s="31">
        <f>Bilanca!J100</f>
        <v>1248897</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3462523.21</v>
      </c>
      <c r="I108" s="31">
        <f t="shared" si="5"/>
        <v>0</v>
      </c>
      <c r="J108" s="31">
        <f>Bilanca!I116</f>
        <v>1051109</v>
      </c>
      <c r="K108" s="31">
        <f>Bilanca!J116</f>
        <v>1092447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16128</v>
      </c>
      <c r="I113" s="31">
        <f t="shared" si="5"/>
        <v>0</v>
      </c>
      <c r="J113" s="31">
        <f>Bilanca!I121</f>
        <v>7200</v>
      </c>
      <c r="K113" s="31">
        <f>Bilanca!J121</f>
        <v>3600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2969384.2199999997</v>
      </c>
      <c r="I115" s="31">
        <f t="shared" si="5"/>
        <v>0</v>
      </c>
      <c r="J115" s="31">
        <f>Bilanca!I123</f>
        <v>903023</v>
      </c>
      <c r="K115" s="31">
        <f>Bilanca!J123</f>
        <v>850850</v>
      </c>
    </row>
    <row r="116" spans="4:11" ht="12.75">
      <c r="D116" s="4" t="s">
        <v>1521</v>
      </c>
      <c r="E116" s="4">
        <v>1</v>
      </c>
      <c r="F116" s="4">
        <f>Bilanca!G124</f>
        <v>115</v>
      </c>
      <c r="G116" s="4">
        <f>IF(Bilanca!H124=0,"",Bilanca!H124)</f>
      </c>
      <c r="H116" s="30">
        <f t="shared" si="4"/>
        <v>375080.55</v>
      </c>
      <c r="I116" s="31">
        <f t="shared" si="5"/>
        <v>0</v>
      </c>
      <c r="J116" s="31">
        <f>Bilanca!I124</f>
        <v>15687</v>
      </c>
      <c r="K116" s="31">
        <f>Bilanca!J124</f>
        <v>155235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97737.12</v>
      </c>
      <c r="I118" s="31">
        <f t="shared" si="5"/>
        <v>0</v>
      </c>
      <c r="J118" s="31">
        <f>Bilanca!I126</f>
        <v>23288</v>
      </c>
      <c r="K118" s="31">
        <f>Bilanca!J126</f>
        <v>30124</v>
      </c>
    </row>
    <row r="119" spans="4:11" ht="12.75">
      <c r="D119" s="4" t="s">
        <v>1521</v>
      </c>
      <c r="E119" s="4">
        <v>1</v>
      </c>
      <c r="F119" s="4">
        <f>Bilanca!G127</f>
        <v>118</v>
      </c>
      <c r="G119" s="4">
        <f>IF(Bilanca!H127=0,"",Bilanca!H127)</f>
      </c>
      <c r="H119" s="30">
        <f t="shared" si="4"/>
        <v>244480.65999999997</v>
      </c>
      <c r="I119" s="31">
        <f t="shared" si="5"/>
        <v>0</v>
      </c>
      <c r="J119" s="31">
        <f>Bilanca!I127</f>
        <v>101911</v>
      </c>
      <c r="K119" s="31">
        <f>Bilanca!J127</f>
        <v>52638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76309601.88</v>
      </c>
      <c r="I123" s="31">
        <f t="shared" si="5"/>
        <v>0</v>
      </c>
      <c r="J123" s="31">
        <f>Bilanca!I131</f>
        <v>22140192</v>
      </c>
      <c r="K123" s="31">
        <f>Bilanca!J131</f>
        <v>20204331</v>
      </c>
    </row>
    <row r="124" spans="4:11" ht="12.75">
      <c r="D124" s="4" t="s">
        <v>1521</v>
      </c>
      <c r="E124" s="4">
        <v>1</v>
      </c>
      <c r="F124" s="4">
        <f>Bilanca!G132</f>
        <v>123</v>
      </c>
      <c r="G124" s="4">
        <f>IF(Bilanca!H132=0,"",Bilanca!H132)</f>
      </c>
      <c r="H124" s="30">
        <f t="shared" si="4"/>
        <v>91627501.92</v>
      </c>
      <c r="I124" s="31">
        <f t="shared" si="5"/>
        <v>0</v>
      </c>
      <c r="J124" s="31">
        <f>Bilanca!I132</f>
        <v>25467556</v>
      </c>
      <c r="K124" s="31">
        <f>Bilanca!J132</f>
        <v>24513174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8199136.25</v>
      </c>
      <c r="I126" s="4">
        <f t="shared" si="5"/>
        <v>0</v>
      </c>
      <c r="J126" s="31">
        <f>RDG!I8</f>
        <v>584951</v>
      </c>
      <c r="K126" s="31">
        <f>RDG!J8</f>
        <v>2987179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8330322.43</v>
      </c>
      <c r="I128" s="4">
        <f aca="true" t="shared" si="7" ref="I128:I190">ABS(ROUND(J128,0)-J128)+ABS(ROUND(K128,0)-K128)</f>
        <v>0</v>
      </c>
      <c r="J128" s="31">
        <f>RDG!I10</f>
        <v>584951</v>
      </c>
      <c r="K128" s="31">
        <f>RDG!J10</f>
        <v>2987179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7787295</v>
      </c>
      <c r="I132" s="4">
        <f t="shared" si="7"/>
        <v>0</v>
      </c>
      <c r="J132" s="31">
        <f>RDG!I14</f>
        <v>681992</v>
      </c>
      <c r="K132" s="31">
        <f>RDG!J14</f>
        <v>2631254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3493157.2199999997</v>
      </c>
      <c r="I134" s="4">
        <f t="shared" si="7"/>
        <v>0</v>
      </c>
      <c r="J134" s="31">
        <f>RDG!I16</f>
        <v>88106</v>
      </c>
      <c r="K134" s="31">
        <f>RDG!J16</f>
        <v>1269164</v>
      </c>
    </row>
    <row r="135" spans="4:11" ht="12.75">
      <c r="D135" s="4" t="s">
        <v>541</v>
      </c>
      <c r="E135" s="4">
        <v>2</v>
      </c>
      <c r="F135" s="4">
        <f>RDG!G17</f>
        <v>134</v>
      </c>
      <c r="G135" s="4">
        <f>IF(RDG!H17=0,"",RDG!H17)</f>
      </c>
      <c r="H135" s="30">
        <f t="shared" si="6"/>
        <v>680050</v>
      </c>
      <c r="I135" s="4">
        <f t="shared" si="7"/>
        <v>0</v>
      </c>
      <c r="J135" s="31">
        <f>RDG!I17</f>
        <v>10778</v>
      </c>
      <c r="K135" s="31">
        <f>RDG!J17</f>
        <v>248361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2881750.24</v>
      </c>
      <c r="I137" s="4">
        <f t="shared" si="7"/>
        <v>0</v>
      </c>
      <c r="J137" s="31">
        <f>RDG!I19</f>
        <v>77328</v>
      </c>
      <c r="K137" s="31">
        <f>RDG!J19</f>
        <v>1020803</v>
      </c>
    </row>
    <row r="138" spans="4:11" ht="12.75">
      <c r="D138" s="4" t="s">
        <v>541</v>
      </c>
      <c r="E138" s="4">
        <v>2</v>
      </c>
      <c r="F138" s="4">
        <f>RDG!G20</f>
        <v>137</v>
      </c>
      <c r="G138" s="4">
        <f>IF(RDG!H20=0,"",RDG!H20)</f>
      </c>
      <c r="H138" s="30">
        <f t="shared" si="6"/>
        <v>1764279.1500000001</v>
      </c>
      <c r="I138" s="4">
        <f t="shared" si="7"/>
        <v>0</v>
      </c>
      <c r="J138" s="31">
        <f>RDG!I20</f>
        <v>267475</v>
      </c>
      <c r="K138" s="31">
        <f>RDG!J20</f>
        <v>510160</v>
      </c>
    </row>
    <row r="139" spans="4:11" ht="12.75">
      <c r="D139" s="4" t="s">
        <v>541</v>
      </c>
      <c r="E139" s="4">
        <v>2</v>
      </c>
      <c r="F139" s="4">
        <f>RDG!G21</f>
        <v>138</v>
      </c>
      <c r="G139" s="4">
        <f>IF(RDG!H21=0,"",RDG!H21)</f>
      </c>
      <c r="H139" s="30">
        <f t="shared" si="6"/>
        <v>1273251.48</v>
      </c>
      <c r="I139" s="4">
        <f t="shared" si="7"/>
        <v>0</v>
      </c>
      <c r="J139" s="31">
        <f>RDG!I21</f>
        <v>178902</v>
      </c>
      <c r="K139" s="31">
        <f>RDG!J21</f>
        <v>371872</v>
      </c>
    </row>
    <row r="140" spans="4:11" ht="12.75">
      <c r="D140" s="4" t="s">
        <v>541</v>
      </c>
      <c r="E140" s="4">
        <v>2</v>
      </c>
      <c r="F140" s="4">
        <f>RDG!G22</f>
        <v>139</v>
      </c>
      <c r="G140" s="4">
        <f>IF(RDG!H22=0,"",RDG!H22)</f>
      </c>
      <c r="H140" s="30">
        <f t="shared" si="6"/>
        <v>269040.05999999994</v>
      </c>
      <c r="I140" s="4">
        <f t="shared" si="7"/>
        <v>0</v>
      </c>
      <c r="J140" s="31">
        <f>RDG!I22</f>
        <v>51668</v>
      </c>
      <c r="K140" s="31">
        <f>RDG!J22</f>
        <v>70943</v>
      </c>
    </row>
    <row r="141" spans="4:11" ht="12.75">
      <c r="D141" s="4" t="s">
        <v>541</v>
      </c>
      <c r="E141" s="4">
        <v>2</v>
      </c>
      <c r="F141" s="4">
        <f>RDG!G23</f>
        <v>140</v>
      </c>
      <c r="G141" s="4">
        <f>IF(RDG!H23=0,"",RDG!H23)</f>
      </c>
      <c r="H141" s="30">
        <f t="shared" si="6"/>
        <v>240233</v>
      </c>
      <c r="I141" s="4">
        <f t="shared" si="7"/>
        <v>0</v>
      </c>
      <c r="J141" s="31">
        <f>RDG!I23</f>
        <v>36905</v>
      </c>
      <c r="K141" s="31">
        <f>RDG!J23</f>
        <v>67345</v>
      </c>
    </row>
    <row r="142" spans="4:11" ht="12.75">
      <c r="D142" s="4" t="s">
        <v>541</v>
      </c>
      <c r="E142" s="4">
        <v>2</v>
      </c>
      <c r="F142" s="4">
        <f>RDG!G24</f>
        <v>141</v>
      </c>
      <c r="G142" s="4">
        <f>IF(RDG!H24=0,"",RDG!H24)</f>
      </c>
      <c r="H142" s="30">
        <f t="shared" si="6"/>
        <v>10888.02</v>
      </c>
      <c r="I142" s="4">
        <f t="shared" si="7"/>
        <v>0</v>
      </c>
      <c r="J142" s="31">
        <f>RDG!I24</f>
        <v>0</v>
      </c>
      <c r="K142" s="31">
        <f>RDG!J24</f>
        <v>3861</v>
      </c>
    </row>
    <row r="143" spans="4:11" ht="12.75">
      <c r="D143" s="4" t="s">
        <v>541</v>
      </c>
      <c r="E143" s="4">
        <v>2</v>
      </c>
      <c r="F143" s="4">
        <f>RDG!G25</f>
        <v>142</v>
      </c>
      <c r="G143" s="4">
        <f>IF(RDG!H25=0,"",RDG!H25)</f>
      </c>
      <c r="H143" s="30">
        <f t="shared" si="6"/>
        <v>0</v>
      </c>
      <c r="I143" s="4">
        <f t="shared" si="7"/>
        <v>0</v>
      </c>
      <c r="J143" s="31">
        <f>RDG!I25</f>
        <v>0</v>
      </c>
      <c r="K143" s="31">
        <f>RDG!J25</f>
        <v>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2396128.64</v>
      </c>
      <c r="I147" s="4">
        <f t="shared" si="7"/>
        <v>0</v>
      </c>
      <c r="J147" s="31">
        <f>RDG!I29</f>
        <v>0</v>
      </c>
      <c r="K147" s="31">
        <f>RDG!J29</f>
        <v>820592</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2445364.16</v>
      </c>
      <c r="I150" s="4">
        <f t="shared" si="7"/>
        <v>0</v>
      </c>
      <c r="J150" s="31">
        <f>RDG!I32</f>
        <v>0</v>
      </c>
      <c r="K150" s="31">
        <f>RDG!J32</f>
        <v>820592</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583488.45</v>
      </c>
      <c r="I154" s="4">
        <f t="shared" si="7"/>
        <v>0</v>
      </c>
      <c r="J154" s="31">
        <f>RDG!I36</f>
        <v>326411</v>
      </c>
      <c r="K154" s="31">
        <f>RDG!J36</f>
        <v>27477</v>
      </c>
    </row>
    <row r="155" spans="4:11" ht="12.75">
      <c r="D155" s="4" t="s">
        <v>541</v>
      </c>
      <c r="E155" s="4">
        <v>2</v>
      </c>
      <c r="F155" s="4">
        <f>RDG!G37</f>
        <v>154</v>
      </c>
      <c r="G155" s="4">
        <f>IF(RDG!H37=0,"",RDG!H37)</f>
      </c>
      <c r="H155" s="30">
        <f t="shared" si="6"/>
        <v>1100730.4</v>
      </c>
      <c r="I155" s="4">
        <f t="shared" si="7"/>
        <v>0</v>
      </c>
      <c r="J155" s="31">
        <f>RDG!I37</f>
        <v>162300</v>
      </c>
      <c r="K155" s="31">
        <f>RDG!J37</f>
        <v>276230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45.08</v>
      </c>
      <c r="I162" s="4">
        <f t="shared" si="7"/>
        <v>0</v>
      </c>
      <c r="J162" s="31">
        <f>RDG!I44</f>
        <v>22</v>
      </c>
      <c r="K162" s="31">
        <f>RDG!J44</f>
        <v>3</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1172160.48</v>
      </c>
      <c r="I165" s="4">
        <f t="shared" si="7"/>
        <v>0</v>
      </c>
      <c r="J165" s="31">
        <f>RDG!I47</f>
        <v>162278</v>
      </c>
      <c r="K165" s="31">
        <f>RDG!J47</f>
        <v>276227</v>
      </c>
    </row>
    <row r="166" spans="4:11" ht="12.75">
      <c r="D166" s="4" t="s">
        <v>541</v>
      </c>
      <c r="E166" s="4">
        <v>2</v>
      </c>
      <c r="F166" s="4">
        <f>RDG!G48</f>
        <v>165</v>
      </c>
      <c r="G166" s="4">
        <f>IF(RDG!H48=0,"",RDG!H48)</f>
      </c>
      <c r="H166" s="30">
        <f t="shared" si="6"/>
        <v>1709253.1500000001</v>
      </c>
      <c r="I166" s="4">
        <f t="shared" si="7"/>
        <v>0</v>
      </c>
      <c r="J166" s="31">
        <f>RDG!I48</f>
        <v>43819</v>
      </c>
      <c r="K166" s="31">
        <f>RDG!J48</f>
        <v>496046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10053.12</v>
      </c>
      <c r="I169" s="4">
        <f t="shared" si="7"/>
        <v>0</v>
      </c>
      <c r="J169" s="31">
        <f>RDG!I51</f>
        <v>5982</v>
      </c>
      <c r="K169" s="31">
        <f>RDG!J51</f>
        <v>1</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1771474.44</v>
      </c>
      <c r="I173" s="4">
        <f t="shared" si="7"/>
        <v>0</v>
      </c>
      <c r="J173" s="31">
        <f>RDG!I55</f>
        <v>37837</v>
      </c>
      <c r="K173" s="31">
        <f>RDG!J55</f>
        <v>496045</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12875102.129999999</v>
      </c>
      <c r="I178" s="4">
        <f t="shared" si="7"/>
        <v>0</v>
      </c>
      <c r="J178" s="31">
        <f>RDG!I60</f>
        <v>747251</v>
      </c>
      <c r="K178" s="31">
        <f>RDG!J60</f>
        <v>3263409</v>
      </c>
    </row>
    <row r="179" spans="4:11" ht="12.75">
      <c r="D179" s="4" t="s">
        <v>541</v>
      </c>
      <c r="E179" s="4">
        <v>2</v>
      </c>
      <c r="F179" s="4">
        <f>RDG!G61</f>
        <v>178</v>
      </c>
      <c r="G179" s="4">
        <f>IF(RDG!H61=0,"",RDG!H61)</f>
      </c>
      <c r="H179" s="30">
        <f t="shared" si="6"/>
        <v>12425131.58</v>
      </c>
      <c r="I179" s="4">
        <f t="shared" si="7"/>
        <v>0</v>
      </c>
      <c r="J179" s="31">
        <f>RDG!I61</f>
        <v>725811</v>
      </c>
      <c r="K179" s="31">
        <f>RDG!J61</f>
        <v>3127300</v>
      </c>
    </row>
    <row r="180" spans="4:11" ht="12.75">
      <c r="D180" s="4" t="s">
        <v>541</v>
      </c>
      <c r="E180" s="4">
        <v>2</v>
      </c>
      <c r="F180" s="4">
        <f>RDG!G62</f>
        <v>179</v>
      </c>
      <c r="G180" s="4">
        <f>IF(RDG!H62=0,"",RDG!H62)</f>
      </c>
      <c r="H180" s="30">
        <f t="shared" si="6"/>
        <v>525647.82</v>
      </c>
      <c r="I180" s="4">
        <f t="shared" si="7"/>
        <v>0</v>
      </c>
      <c r="J180" s="31">
        <f>RDG!I62</f>
        <v>21440</v>
      </c>
      <c r="K180" s="31">
        <f>RDG!J62</f>
        <v>136109</v>
      </c>
    </row>
    <row r="181" spans="4:11" ht="12.75">
      <c r="D181" s="4" t="s">
        <v>541</v>
      </c>
      <c r="E181" s="4">
        <v>2</v>
      </c>
      <c r="F181" s="4">
        <f>RDG!G63</f>
        <v>180</v>
      </c>
      <c r="G181" s="4">
        <f>IF(RDG!H63=0,"",RDG!H63)</f>
      </c>
      <c r="H181" s="30">
        <f t="shared" si="6"/>
        <v>528584.3999999999</v>
      </c>
      <c r="I181" s="4">
        <f t="shared" si="7"/>
        <v>0</v>
      </c>
      <c r="J181" s="31">
        <f>RDG!I63</f>
        <v>21440</v>
      </c>
      <c r="K181" s="31">
        <f>RDG!J63</f>
        <v>136109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65438.1</v>
      </c>
      <c r="I183" s="4">
        <f t="shared" si="7"/>
        <v>0</v>
      </c>
      <c r="J183" s="31">
        <f>RDG!I65</f>
        <v>2835</v>
      </c>
      <c r="K183" s="31">
        <f>RDG!J65</f>
        <v>16560</v>
      </c>
    </row>
    <row r="184" spans="4:11" ht="12.75">
      <c r="D184" s="4" t="s">
        <v>541</v>
      </c>
      <c r="E184" s="4">
        <v>2</v>
      </c>
      <c r="F184" s="4">
        <f>RDG!G66</f>
        <v>183</v>
      </c>
      <c r="G184" s="4">
        <f>IF(RDG!H66=0,"",RDG!H66)</f>
      </c>
      <c r="H184" s="30">
        <f t="shared" si="6"/>
        <v>471596.49000000005</v>
      </c>
      <c r="I184" s="4">
        <f t="shared" si="7"/>
        <v>0</v>
      </c>
      <c r="J184" s="31">
        <f>RDG!I66</f>
        <v>18605</v>
      </c>
      <c r="K184" s="31">
        <f>RDG!J66</f>
        <v>119549</v>
      </c>
    </row>
    <row r="185" spans="4:11" ht="12.75">
      <c r="D185" s="4" t="s">
        <v>541</v>
      </c>
      <c r="E185" s="4">
        <v>2</v>
      </c>
      <c r="F185" s="4">
        <f>RDG!G67</f>
        <v>184</v>
      </c>
      <c r="G185" s="4">
        <f>IF(RDG!H67=0,"",RDG!H67)</f>
      </c>
      <c r="H185" s="30">
        <f t="shared" si="6"/>
        <v>474173.52</v>
      </c>
      <c r="I185" s="4">
        <f t="shared" si="7"/>
        <v>0</v>
      </c>
      <c r="J185" s="31">
        <f>RDG!I67</f>
        <v>18605</v>
      </c>
      <c r="K185" s="31">
        <f>RDG!J67</f>
        <v>119549</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VUKOVARSKA GOSPODARSKA ZONA DOO</v>
      </c>
      <c r="X2" s="209" t="s">
        <v>207</v>
      </c>
      <c r="Y2" s="231">
        <f>IF(RefStr!C54&lt;&gt;"",RefStr!C54,"")</f>
        <v>100</v>
      </c>
      <c r="Z2" s="209" t="s">
        <v>2326</v>
      </c>
      <c r="AA2" s="231" t="str">
        <f>IF(RefStr!B64="","",RefStr!B64)</f>
        <v>00332852</v>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32000</v>
      </c>
      <c r="X3" s="211" t="s">
        <v>208</v>
      </c>
      <c r="Y3" s="232">
        <f>IF(RefStr!F54&lt;&gt;"",RefStr!F54,"")</f>
        <v>0</v>
      </c>
      <c r="Z3" s="211" t="s">
        <v>2327</v>
      </c>
      <c r="AA3" s="232" t="str">
        <f>IF(RefStr!B66="","",RefStr!B66)</f>
        <v>FINA RAČUNOVODSTVENI SERVIS VUKOVAR</v>
      </c>
    </row>
    <row r="4" spans="1:27" ht="13.5" customHeight="1">
      <c r="A4" s="498"/>
      <c r="B4" s="499"/>
      <c r="C4" s="499"/>
      <c r="D4" s="499"/>
      <c r="E4" s="499"/>
      <c r="F4" s="499"/>
      <c r="G4" s="499"/>
      <c r="H4" s="499"/>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37862172935</v>
      </c>
      <c r="V4" s="211" t="s">
        <v>2356</v>
      </c>
      <c r="W4" s="232" t="str">
        <f>RefStr!F31</f>
        <v>VUKOVAR</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2</v>
      </c>
      <c r="T5" s="211" t="s">
        <v>2352</v>
      </c>
      <c r="U5" s="232" t="str">
        <f>RefStr!H27</f>
        <v>02244055</v>
      </c>
      <c r="V5" s="211" t="s">
        <v>2357</v>
      </c>
      <c r="W5" s="232" t="str">
        <f>RefStr!C33</f>
        <v>GOSPODARSKA ZONA 15</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030092813</v>
      </c>
      <c r="V6" s="211" t="s">
        <v>2568</v>
      </c>
      <c r="W6" s="232" t="str">
        <f>RefStr!L35</f>
        <v>098/281-873</v>
      </c>
      <c r="X6" s="211" t="s">
        <v>2514</v>
      </c>
      <c r="Y6" s="232" t="str">
        <f>RefStr!C68</f>
        <v>SNEŽANA LAZIĆ</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DAVOR.FORIS@VGZ.HR</v>
      </c>
      <c r="X7" s="211" t="s">
        <v>2515</v>
      </c>
      <c r="Y7" s="232" t="str">
        <f>RefStr!C70</f>
        <v>032/455-349</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6820</v>
      </c>
      <c r="X8" s="211" t="s">
        <v>2516</v>
      </c>
      <c r="Y8" s="232" t="str">
        <f>TRIM(UPPER(RefStr!C72))</f>
        <v>SNEZANA.LAZIC@FINA.HR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3</v>
      </c>
      <c r="Q9" s="231">
        <f>RefStr!F58</f>
        <v>4</v>
      </c>
      <c r="R9" s="211" t="s">
        <v>1860</v>
      </c>
      <c r="S9" s="232">
        <f>IF(RefStr!F4&lt;&gt;"",RefStr!F4,0)</f>
        <v>44196</v>
      </c>
      <c r="T9" s="211" t="s">
        <v>1821</v>
      </c>
      <c r="U9" s="232">
        <f>RefStr!C39</f>
        <v>518</v>
      </c>
      <c r="V9" s="211" t="s">
        <v>1414</v>
      </c>
      <c r="W9" s="232" t="str">
        <f>RefStr!D42</f>
        <v>Iznajmljivanje i upravljanje vlastitim...</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v>
      </c>
      <c r="Q10" s="233">
        <f>RefStr!F56</f>
        <v>4</v>
      </c>
      <c r="R10" s="213" t="s">
        <v>1863</v>
      </c>
      <c r="S10" s="233">
        <f>RefStr!C23</f>
        <v>1</v>
      </c>
      <c r="T10" s="213" t="s">
        <v>2573</v>
      </c>
      <c r="U10" s="233" t="str">
        <f>RefStr!D39</f>
        <v>Vukovar</v>
      </c>
      <c r="V10" s="240"/>
      <c r="W10" s="241"/>
      <c r="X10" s="242" t="s">
        <v>1974</v>
      </c>
      <c r="Y10" s="243">
        <f>RefStr!F12</f>
        <v>2020</v>
      </c>
      <c r="Z10" s="213" t="s">
        <v>209</v>
      </c>
      <c r="AA10" s="233" t="str">
        <f>RefStr!A75</f>
        <v>DAVOR FORIŠ</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F:\[VGZ - GFI-POD 2020.-za potrebe statistike.xls]Dodatni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41" activePane="bottomLeft" state="frozen"/>
      <selection pane="topLeft" activeCell="A1" sqref="A1"/>
      <selection pane="bottomLeft" activeCell="K74" sqref="K7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224405.5</v>
      </c>
    </row>
    <row r="13" spans="4:17" ht="9.75" customHeight="1">
      <c r="D13" s="156"/>
      <c r="E13" s="162"/>
      <c r="H13" s="27"/>
      <c r="I13" s="163"/>
      <c r="J13" s="163"/>
      <c r="K13" s="156"/>
      <c r="L13" s="156"/>
      <c r="M13" s="156"/>
      <c r="N13" s="156"/>
      <c r="P13" s="54" t="s">
        <v>2353</v>
      </c>
      <c r="Q13" s="55">
        <f>INT(VALUE(M27))/50</f>
        <v>601856.26</v>
      </c>
    </row>
    <row r="14" spans="1:17" ht="15">
      <c r="A14" s="321" t="s">
        <v>2714</v>
      </c>
      <c r="B14" s="321"/>
      <c r="C14" s="321"/>
      <c r="D14" s="164"/>
      <c r="E14" s="165"/>
      <c r="F14" s="319"/>
      <c r="G14" s="320"/>
      <c r="H14" s="320"/>
      <c r="I14" s="156"/>
      <c r="J14" s="327" t="s">
        <v>2100</v>
      </c>
      <c r="K14" s="328"/>
      <c r="L14" s="328"/>
      <c r="M14" s="328"/>
      <c r="N14" s="328"/>
      <c r="P14" s="54" t="s">
        <v>2718</v>
      </c>
      <c r="Q14" s="55">
        <f>INT(VALUE(C27))/100</f>
        <v>378621729.35</v>
      </c>
    </row>
    <row r="15" spans="1:17" ht="19.5" customHeight="1">
      <c r="A15" s="324">
        <f>Skriveni!B59</f>
        <v>713665712.52</v>
      </c>
      <c r="B15" s="325"/>
      <c r="C15" s="326"/>
      <c r="D15" s="60"/>
      <c r="E15" s="60"/>
      <c r="F15" s="60"/>
      <c r="G15" s="60"/>
      <c r="H15" s="60"/>
      <c r="I15" s="60"/>
      <c r="J15" s="60"/>
      <c r="K15" s="60"/>
      <c r="L15" s="60"/>
      <c r="M15" s="60"/>
      <c r="N15" s="60"/>
      <c r="P15" s="54" t="s">
        <v>1817</v>
      </c>
      <c r="Q15" s="55">
        <f>LEN(Skriveni!B9)</f>
        <v>31</v>
      </c>
    </row>
    <row r="16" spans="4:17" ht="12.75" customHeight="1">
      <c r="D16" s="60"/>
      <c r="E16" s="60"/>
      <c r="F16" s="60"/>
      <c r="G16" s="60"/>
      <c r="H16" s="60"/>
      <c r="I16" s="60"/>
      <c r="P16" s="54" t="s">
        <v>1818</v>
      </c>
      <c r="Q16" s="55">
        <f>INT(VALUE(C31))/100</f>
        <v>320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518</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6820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32000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2966</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518</v>
      </c>
      <c r="D39" s="348" t="str">
        <f>IF(C39="","Šifra grada/općine nije upisana",IF(ISNA(LOOKUP(C39,A177:A732,A177:A732)),"Šifra grada/općine ne postoji",IF(LOOKUP(C39,A177:A732,A177:A732)&lt;&gt;C39,"Šifra grada/općine ne postoji",LOOKUP(C39,A177:A732,B177:B732))))</f>
        <v>Vukovar</v>
      </c>
      <c r="E39" s="349"/>
      <c r="F39" s="349"/>
      <c r="G39" s="349"/>
      <c r="H39" s="272" t="s">
        <v>2222</v>
      </c>
      <c r="I39" s="344"/>
      <c r="J39" s="58">
        <f>IF(C39&gt;0,LOOKUP(C39,A177:A732,C177:C732),"")</f>
        <v>16</v>
      </c>
      <c r="K39" s="351" t="str">
        <f>IF(J39="","Treba prvo upisati šifru grada/općine",LOOKUP(J39,A153:A173,B153:B173))</f>
        <v>VUKOVARSKO-SRIJEMSKA</v>
      </c>
      <c r="L39" s="351"/>
      <c r="M39" s="351"/>
      <c r="N39" s="351"/>
      <c r="P39" s="54" t="s">
        <v>1826</v>
      </c>
      <c r="Q39" s="55">
        <f>C56+2*F56+3*C58+4*F58</f>
        <v>34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978</v>
      </c>
      <c r="D42" s="353" t="str">
        <f>IF(C42="","Šifra NKD-a nije upisana",IF(ISNA(LOOKUP(C42,A736:A1351,A736:A1351)),"Šifra NKD-a ne postoji",IF(LOOKUP(C42,A736:A1351,A736:A1351)&lt;&gt;C42,"Šifra NKD-a ne postoji",LOOKUP(C42,A736:A1351,B736:B1351))))</f>
        <v>Iznajmljivanje i upravljanje vlastitim...</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v>
      </c>
      <c r="D56" s="270" t="s">
        <v>2898</v>
      </c>
      <c r="E56" s="380"/>
      <c r="F56" s="44">
        <v>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v>
      </c>
      <c r="D58" s="278" t="s">
        <v>2898</v>
      </c>
      <c r="E58" s="278"/>
      <c r="F58" s="44">
        <v>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31.12.2020.</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24512484</v>
      </c>
      <c r="J10" s="70">
        <f>J11+J18+J28+J39+J44</f>
        <v>22574905</v>
      </c>
    </row>
    <row r="11" spans="1:10" ht="13.5" customHeight="1">
      <c r="A11" s="384" t="s">
        <v>1850</v>
      </c>
      <c r="B11" s="384"/>
      <c r="C11" s="384"/>
      <c r="D11" s="384"/>
      <c r="E11" s="384"/>
      <c r="F11" s="384"/>
      <c r="G11" s="19">
        <v>3</v>
      </c>
      <c r="H11" s="20"/>
      <c r="I11" s="70">
        <f>SUM(I12:I17)</f>
        <v>0</v>
      </c>
      <c r="J11" s="70">
        <f>SUM(J12:J17)</f>
        <v>78692</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v>78692</v>
      </c>
    </row>
    <row r="18" spans="1:10" ht="13.5" customHeight="1">
      <c r="A18" s="384" t="s">
        <v>731</v>
      </c>
      <c r="B18" s="384"/>
      <c r="C18" s="384"/>
      <c r="D18" s="384"/>
      <c r="E18" s="384"/>
      <c r="F18" s="384"/>
      <c r="G18" s="19">
        <v>10</v>
      </c>
      <c r="H18" s="20"/>
      <c r="I18" s="70">
        <f>SUM(I19:I27)</f>
        <v>24512484</v>
      </c>
      <c r="J18" s="70">
        <f>SUM(J19:J27)</f>
        <v>22496213</v>
      </c>
    </row>
    <row r="19" spans="1:10" ht="13.5" customHeight="1">
      <c r="A19" s="383" t="s">
        <v>2176</v>
      </c>
      <c r="B19" s="383"/>
      <c r="C19" s="383"/>
      <c r="D19" s="383"/>
      <c r="E19" s="383"/>
      <c r="F19" s="383"/>
      <c r="G19" s="19">
        <v>11</v>
      </c>
      <c r="H19" s="20"/>
      <c r="I19" s="71">
        <v>16624133</v>
      </c>
      <c r="J19" s="71">
        <v>14603023</v>
      </c>
    </row>
    <row r="20" spans="1:10" ht="13.5" customHeight="1">
      <c r="A20" s="383" t="s">
        <v>543</v>
      </c>
      <c r="B20" s="383"/>
      <c r="C20" s="383"/>
      <c r="D20" s="383"/>
      <c r="E20" s="383"/>
      <c r="F20" s="383"/>
      <c r="G20" s="19">
        <v>12</v>
      </c>
      <c r="H20" s="20"/>
      <c r="I20" s="71">
        <v>7888351</v>
      </c>
      <c r="J20" s="71">
        <v>7888351</v>
      </c>
    </row>
    <row r="21" spans="1:10" ht="13.5" customHeight="1">
      <c r="A21" s="383" t="s">
        <v>2177</v>
      </c>
      <c r="B21" s="383"/>
      <c r="C21" s="383"/>
      <c r="D21" s="383"/>
      <c r="E21" s="383"/>
      <c r="F21" s="383"/>
      <c r="G21" s="19">
        <v>13</v>
      </c>
      <c r="H21" s="20"/>
      <c r="I21" s="71"/>
      <c r="J21" s="71">
        <v>4839</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955072</v>
      </c>
      <c r="J45" s="70">
        <f>J46+J54+J61+J71</f>
        <v>1938269</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504344</v>
      </c>
      <c r="J54" s="70">
        <f>SUM(J55:J60)</f>
        <v>1380422</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482560</v>
      </c>
      <c r="J57" s="71">
        <v>1368516</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21784</v>
      </c>
      <c r="J59" s="71">
        <v>11906</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2960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v>2960</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450728</v>
      </c>
      <c r="J71" s="71">
        <v>554887</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25467556</v>
      </c>
      <c r="J73" s="70">
        <f>J9+J10+J45+J72</f>
        <v>24513174</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1847950</v>
      </c>
      <c r="J76" s="70">
        <f>J77+J78+J79+J85+J86+J90+J93+J96</f>
        <v>1967499</v>
      </c>
      <c r="L76" s="2" t="s">
        <v>2591</v>
      </c>
    </row>
    <row r="77" spans="1:10" ht="13.5" customHeight="1">
      <c r="A77" s="384" t="s">
        <v>935</v>
      </c>
      <c r="B77" s="384"/>
      <c r="C77" s="384"/>
      <c r="D77" s="384"/>
      <c r="E77" s="384"/>
      <c r="F77" s="384"/>
      <c r="G77" s="19">
        <v>68</v>
      </c>
      <c r="H77" s="20"/>
      <c r="I77" s="71">
        <v>1220000</v>
      </c>
      <c r="J77" s="71">
        <v>1220000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609345</v>
      </c>
      <c r="J90" s="70">
        <f>J91-J92</f>
        <v>627950</v>
      </c>
      <c r="L90" s="2" t="s">
        <v>2591</v>
      </c>
    </row>
    <row r="91" spans="1:10" ht="13.5" customHeight="1">
      <c r="A91" s="383" t="s">
        <v>1139</v>
      </c>
      <c r="B91" s="383"/>
      <c r="C91" s="383"/>
      <c r="D91" s="383"/>
      <c r="E91" s="383"/>
      <c r="F91" s="383"/>
      <c r="G91" s="19">
        <v>82</v>
      </c>
      <c r="H91" s="20"/>
      <c r="I91" s="71">
        <v>609345</v>
      </c>
      <c r="J91" s="71">
        <v>627950</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18605</v>
      </c>
      <c r="J93" s="70">
        <f>J94-J95</f>
        <v>119549</v>
      </c>
      <c r="L93" s="2" t="s">
        <v>2591</v>
      </c>
    </row>
    <row r="94" spans="1:10" ht="13.5" customHeight="1">
      <c r="A94" s="383" t="s">
        <v>2640</v>
      </c>
      <c r="B94" s="383"/>
      <c r="C94" s="383"/>
      <c r="D94" s="383"/>
      <c r="E94" s="383"/>
      <c r="F94" s="383"/>
      <c r="G94" s="19">
        <v>85</v>
      </c>
      <c r="H94" s="20"/>
      <c r="I94" s="71">
        <v>18605</v>
      </c>
      <c r="J94" s="71">
        <v>119549</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428305</v>
      </c>
      <c r="J97" s="70">
        <f>SUM(J98:J103)</f>
        <v>1248897</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428305</v>
      </c>
      <c r="J100" s="71">
        <v>1248897</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1051109</v>
      </c>
      <c r="J116" s="70">
        <f>SUM(J117:J130)</f>
        <v>1092447</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v>7200</v>
      </c>
      <c r="J121" s="71">
        <v>3600</v>
      </c>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v>903023</v>
      </c>
      <c r="J123" s="71">
        <v>850850</v>
      </c>
    </row>
    <row r="124" spans="1:10" ht="13.5" customHeight="1">
      <c r="A124" s="383" t="s">
        <v>358</v>
      </c>
      <c r="B124" s="383"/>
      <c r="C124" s="383"/>
      <c r="D124" s="383"/>
      <c r="E124" s="383"/>
      <c r="F124" s="383"/>
      <c r="G124" s="19">
        <v>115</v>
      </c>
      <c r="H124" s="20"/>
      <c r="I124" s="71">
        <v>15687</v>
      </c>
      <c r="J124" s="71">
        <v>155235</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23288</v>
      </c>
      <c r="J126" s="71">
        <v>30124</v>
      </c>
    </row>
    <row r="127" spans="1:10" ht="13.5" customHeight="1">
      <c r="A127" s="383" t="s">
        <v>364</v>
      </c>
      <c r="B127" s="383"/>
      <c r="C127" s="383"/>
      <c r="D127" s="383"/>
      <c r="E127" s="383"/>
      <c r="F127" s="383"/>
      <c r="G127" s="19">
        <v>118</v>
      </c>
      <c r="H127" s="20"/>
      <c r="I127" s="71">
        <v>101911</v>
      </c>
      <c r="J127" s="71">
        <v>52638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22140192</v>
      </c>
      <c r="J131" s="71">
        <v>20204331</v>
      </c>
    </row>
    <row r="132" spans="1:10" ht="13.5" customHeight="1">
      <c r="A132" s="381" t="s">
        <v>2657</v>
      </c>
      <c r="B132" s="381"/>
      <c r="C132" s="381"/>
      <c r="D132" s="381"/>
      <c r="E132" s="381"/>
      <c r="F132" s="381"/>
      <c r="G132" s="19">
        <v>123</v>
      </c>
      <c r="H132" s="20"/>
      <c r="I132" s="70">
        <f>I76+I97+I104+I116+I131</f>
        <v>25467556</v>
      </c>
      <c r="J132" s="70">
        <f>J76+J97+J104+J116+J131</f>
        <v>24513174</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 activePane="bottomLeft" state="frozen"/>
      <selection pane="topLeft" activeCell="A1" sqref="A1"/>
      <selection pane="bottomLeft" activeCell="J25" sqref="J2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01.01.2020. do 31.12.2020.</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37862172935; VUKOVARSKA GOSPODARSKA ZONA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584951</v>
      </c>
      <c r="J8" s="84">
        <f>SUM(J9:J13)</f>
        <v>2987179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584951</v>
      </c>
      <c r="J10" s="71">
        <v>2987179</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681992</v>
      </c>
      <c r="J14" s="70">
        <f>J15+J16+J20+J24+J25+J26+J29+J36</f>
        <v>2631254</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88106</v>
      </c>
      <c r="J16" s="70">
        <f>SUM(J17:J19)</f>
        <v>1269164</v>
      </c>
    </row>
    <row r="17" spans="1:10" s="2" customFormat="1" ht="13.5" customHeight="1">
      <c r="A17" s="418" t="s">
        <v>504</v>
      </c>
      <c r="B17" s="418"/>
      <c r="C17" s="418"/>
      <c r="D17" s="418"/>
      <c r="E17" s="418"/>
      <c r="F17" s="418"/>
      <c r="G17" s="19">
        <v>134</v>
      </c>
      <c r="H17" s="20"/>
      <c r="I17" s="71">
        <v>10778</v>
      </c>
      <c r="J17" s="71">
        <v>248361</v>
      </c>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v>77328</v>
      </c>
      <c r="J19" s="71">
        <v>1020803</v>
      </c>
    </row>
    <row r="20" spans="1:10" s="2" customFormat="1" ht="13.5" customHeight="1">
      <c r="A20" s="383" t="s">
        <v>1839</v>
      </c>
      <c r="B20" s="383"/>
      <c r="C20" s="383"/>
      <c r="D20" s="383"/>
      <c r="E20" s="383"/>
      <c r="F20" s="383"/>
      <c r="G20" s="19">
        <v>137</v>
      </c>
      <c r="H20" s="20"/>
      <c r="I20" s="70">
        <f>SUM(I21:I23)</f>
        <v>267475</v>
      </c>
      <c r="J20" s="70">
        <f>SUM(J21:J23)</f>
        <v>510160</v>
      </c>
    </row>
    <row r="21" spans="1:10" s="2" customFormat="1" ht="13.5" customHeight="1">
      <c r="A21" s="418" t="s">
        <v>724</v>
      </c>
      <c r="B21" s="418"/>
      <c r="C21" s="418"/>
      <c r="D21" s="418"/>
      <c r="E21" s="418"/>
      <c r="F21" s="418"/>
      <c r="G21" s="19">
        <v>138</v>
      </c>
      <c r="H21" s="20"/>
      <c r="I21" s="71">
        <v>178902</v>
      </c>
      <c r="J21" s="71">
        <v>371872</v>
      </c>
    </row>
    <row r="22" spans="1:10" s="2" customFormat="1" ht="13.5" customHeight="1">
      <c r="A22" s="418" t="s">
        <v>961</v>
      </c>
      <c r="B22" s="418"/>
      <c r="C22" s="418"/>
      <c r="D22" s="418"/>
      <c r="E22" s="418"/>
      <c r="F22" s="418"/>
      <c r="G22" s="19">
        <v>139</v>
      </c>
      <c r="H22" s="20"/>
      <c r="I22" s="71">
        <v>51668</v>
      </c>
      <c r="J22" s="71">
        <v>70943</v>
      </c>
    </row>
    <row r="23" spans="1:10" s="2" customFormat="1" ht="13.5" customHeight="1">
      <c r="A23" s="418" t="s">
        <v>962</v>
      </c>
      <c r="B23" s="418"/>
      <c r="C23" s="418"/>
      <c r="D23" s="418"/>
      <c r="E23" s="418"/>
      <c r="F23" s="418"/>
      <c r="G23" s="19">
        <v>140</v>
      </c>
      <c r="H23" s="20"/>
      <c r="I23" s="71">
        <v>36905</v>
      </c>
      <c r="J23" s="71">
        <v>67345</v>
      </c>
    </row>
    <row r="24" spans="1:10" s="2" customFormat="1" ht="13.5" customHeight="1">
      <c r="A24" s="383" t="s">
        <v>259</v>
      </c>
      <c r="B24" s="383"/>
      <c r="C24" s="383"/>
      <c r="D24" s="383"/>
      <c r="E24" s="383"/>
      <c r="F24" s="383"/>
      <c r="G24" s="19">
        <v>141</v>
      </c>
      <c r="H24" s="20"/>
      <c r="I24" s="71"/>
      <c r="J24" s="71">
        <v>3861</v>
      </c>
    </row>
    <row r="25" spans="1:10" s="2" customFormat="1" ht="13.5" customHeight="1">
      <c r="A25" s="383" t="s">
        <v>260</v>
      </c>
      <c r="B25" s="383"/>
      <c r="C25" s="383"/>
      <c r="D25" s="383"/>
      <c r="E25" s="383"/>
      <c r="F25" s="383"/>
      <c r="G25" s="19">
        <v>142</v>
      </c>
      <c r="H25" s="20"/>
      <c r="I25" s="71"/>
      <c r="J25" s="71"/>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820592</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v>820592</v>
      </c>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v>326411</v>
      </c>
      <c r="J36" s="71">
        <v>27477</v>
      </c>
    </row>
    <row r="37" spans="1:10" s="2" customFormat="1" ht="13.5" customHeight="1">
      <c r="A37" s="381" t="s">
        <v>1842</v>
      </c>
      <c r="B37" s="381"/>
      <c r="C37" s="381"/>
      <c r="D37" s="381"/>
      <c r="E37" s="381"/>
      <c r="F37" s="381"/>
      <c r="G37" s="19">
        <v>154</v>
      </c>
      <c r="H37" s="20"/>
      <c r="I37" s="70">
        <f>SUM(I38:I47)</f>
        <v>162300</v>
      </c>
      <c r="J37" s="70">
        <f>SUM(J38:J47)</f>
        <v>276230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22</v>
      </c>
      <c r="J44" s="71">
        <v>3</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162278</v>
      </c>
      <c r="J47" s="71">
        <v>276227</v>
      </c>
    </row>
    <row r="48" spans="1:10" s="2" customFormat="1" ht="13.5" customHeight="1">
      <c r="A48" s="381" t="s">
        <v>1843</v>
      </c>
      <c r="B48" s="381"/>
      <c r="C48" s="381"/>
      <c r="D48" s="381"/>
      <c r="E48" s="381"/>
      <c r="F48" s="381"/>
      <c r="G48" s="19">
        <v>165</v>
      </c>
      <c r="H48" s="20"/>
      <c r="I48" s="70">
        <f>SUM(I49:I55)</f>
        <v>43819</v>
      </c>
      <c r="J48" s="70">
        <f>SUM(J49:J55)</f>
        <v>496046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5982</v>
      </c>
      <c r="J51" s="71">
        <v>1</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37837</v>
      </c>
      <c r="J55" s="71">
        <v>496045</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747251</v>
      </c>
      <c r="J60" s="70">
        <f>J8+J37+J56+J57</f>
        <v>3263409</v>
      </c>
    </row>
    <row r="61" spans="1:10" s="2" customFormat="1" ht="13.5" customHeight="1">
      <c r="A61" s="381" t="s">
        <v>1845</v>
      </c>
      <c r="B61" s="381"/>
      <c r="C61" s="381"/>
      <c r="D61" s="381"/>
      <c r="E61" s="381"/>
      <c r="F61" s="381"/>
      <c r="G61" s="19">
        <v>178</v>
      </c>
      <c r="H61" s="20"/>
      <c r="I61" s="70">
        <f>I14+I48+I58+I59</f>
        <v>725811</v>
      </c>
      <c r="J61" s="70">
        <f>J14+J48+J58+J59</f>
        <v>3127300</v>
      </c>
    </row>
    <row r="62" spans="1:12" s="2" customFormat="1" ht="13.5" customHeight="1">
      <c r="A62" s="381" t="s">
        <v>2581</v>
      </c>
      <c r="B62" s="381"/>
      <c r="C62" s="381"/>
      <c r="D62" s="381"/>
      <c r="E62" s="381"/>
      <c r="F62" s="381"/>
      <c r="G62" s="19">
        <v>179</v>
      </c>
      <c r="H62" s="20"/>
      <c r="I62" s="70">
        <f>I60-I61</f>
        <v>21440</v>
      </c>
      <c r="J62" s="70">
        <f>J60-J61</f>
        <v>136109</v>
      </c>
      <c r="L62" s="2" t="s">
        <v>2591</v>
      </c>
    </row>
    <row r="63" spans="1:10" s="2" customFormat="1" ht="13.5" customHeight="1">
      <c r="A63" s="403" t="s">
        <v>2658</v>
      </c>
      <c r="B63" s="403"/>
      <c r="C63" s="403"/>
      <c r="D63" s="403"/>
      <c r="E63" s="403"/>
      <c r="F63" s="403"/>
      <c r="G63" s="19">
        <v>180</v>
      </c>
      <c r="H63" s="20"/>
      <c r="I63" s="70">
        <f>IF(I60&gt;I61,I60-I61,0)</f>
        <v>21440</v>
      </c>
      <c r="J63" s="70">
        <f>IF(J60&gt;J61,J60-J61,0)</f>
        <v>136109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2835</v>
      </c>
      <c r="J65" s="71">
        <v>16560</v>
      </c>
      <c r="L65" s="2" t="s">
        <v>2591</v>
      </c>
    </row>
    <row r="66" spans="1:12" s="2" customFormat="1" ht="13.5" customHeight="1">
      <c r="A66" s="381" t="s">
        <v>2582</v>
      </c>
      <c r="B66" s="381"/>
      <c r="C66" s="381"/>
      <c r="D66" s="381"/>
      <c r="E66" s="381"/>
      <c r="F66" s="381"/>
      <c r="G66" s="19">
        <v>183</v>
      </c>
      <c r="H66" s="20"/>
      <c r="I66" s="70">
        <f>I62-I65</f>
        <v>18605</v>
      </c>
      <c r="J66" s="70">
        <f>J62-J65</f>
        <v>119549</v>
      </c>
      <c r="L66" s="2" t="s">
        <v>2591</v>
      </c>
    </row>
    <row r="67" spans="1:10" s="2" customFormat="1" ht="13.5" customHeight="1">
      <c r="A67" s="403" t="s">
        <v>779</v>
      </c>
      <c r="B67" s="403"/>
      <c r="C67" s="403"/>
      <c r="D67" s="403"/>
      <c r="E67" s="403"/>
      <c r="F67" s="403"/>
      <c r="G67" s="19">
        <v>184</v>
      </c>
      <c r="H67" s="20"/>
      <c r="I67" s="70">
        <f>IF(I66&gt;0,I66,0)</f>
        <v>18605</v>
      </c>
      <c r="J67" s="70">
        <f>IF(J66&gt;0,J66,0)</f>
        <v>119549</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81" sqref="I8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92"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37862172935; VUKOVARSKA GOSPODARSKA ZONA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37862172935; VUKOVARSKA GOSPODARSKA ZONA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37862172935; VUKOVARSKA GOSPODARSKA ZONA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sneza</cp:lastModifiedBy>
  <cp:lastPrinted>2017-01-04T10:24:58Z</cp:lastPrinted>
  <dcterms:created xsi:type="dcterms:W3CDTF">2008-10-17T11:51:54Z</dcterms:created>
  <dcterms:modified xsi:type="dcterms:W3CDTF">2021-03-16T17:44:37Z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